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C0E0044B-0A10-4220-B089-3953904C0221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累計計算用" sheetId="50" r:id="rId1"/>
    <sheet name="NIPPONIKA24年8月-25年7月" sheetId="49" r:id="rId2"/>
    <sheet name="R&amp;C24年8月-25年7月 (2)" sheetId="51" r:id="rId3"/>
    <sheet name="R&amp;C24年8月-25年7月" sheetId="47" r:id="rId4"/>
    <sheet name="R&amp;C" sheetId="37" r:id="rId5"/>
    <sheet name="大里さま（国内）" sheetId="46" r:id="rId6"/>
    <sheet name="USA2405~" sheetId="43" r:id="rId7"/>
    <sheet name="ACES Beteiligune23年８月-24年7月 " sheetId="41" r:id="rId8"/>
    <sheet name="YAMAT2408~2507" sheetId="48" r:id="rId9"/>
    <sheet name="YAMATO2308~2407 " sheetId="38" r:id="rId10"/>
    <sheet name="JS2308~2507 " sheetId="39" r:id="rId11"/>
  </sheets>
  <definedNames>
    <definedName name="_xlnm._FilterDatabase" localSheetId="7" hidden="1">'ACES Beteiligune23年８月-24年7月 '!$A$1:$Z$253</definedName>
    <definedName name="_xlnm._FilterDatabase" localSheetId="1" hidden="1">'NIPPONIKA24年8月-25年7月'!$A$1:$U$279</definedName>
    <definedName name="_xlnm._FilterDatabase" localSheetId="4" hidden="1">'R&amp;C'!$A$1:$D$275</definedName>
    <definedName name="_xlnm._FilterDatabase" localSheetId="3" hidden="1">'R&amp;C24年8月-25年7月'!$A$1:$AG$291</definedName>
    <definedName name="_xlnm._FilterDatabase" localSheetId="2" hidden="1">'R&amp;C24年8月-25年7月 (2)'!$A$1:$C$200</definedName>
    <definedName name="_xlnm._FilterDatabase" localSheetId="6" hidden="1">'USA2405~'!$A$1:$G$266</definedName>
    <definedName name="_xlnm._FilterDatabase" localSheetId="5" hidden="1">'大里さま（国内）'!$A$1:$D$39</definedName>
    <definedName name="_xlnm.Print_Area" localSheetId="7">'ACES Beteiligune23年８月-24年7月 '!$A$1:$Y$253</definedName>
    <definedName name="_xlnm.Print_Area" localSheetId="10">'JS2308~2507 '!$A$1:$J$36</definedName>
    <definedName name="_xlnm.Print_Area" localSheetId="1">'NIPPONIKA24年8月-25年7月'!$A$1:$U$279</definedName>
    <definedName name="_xlnm.Print_Area" localSheetId="4">'R&amp;C'!$A$1:$D$275</definedName>
    <definedName name="_xlnm.Print_Area" localSheetId="3">'R&amp;C24年8月-25年7月'!$A$1:$AG$291</definedName>
    <definedName name="_xlnm.Print_Area" localSheetId="2">'R&amp;C24年8月-25年7月 (2)'!$B$1:$C$15</definedName>
    <definedName name="_xlnm.Print_Area" localSheetId="6">'USA2405~'!$A$1:$G$266</definedName>
    <definedName name="_xlnm.Print_Area" localSheetId="8">'YAMAT2408~2507'!$A$1:$I$30</definedName>
    <definedName name="_xlnm.Print_Area" localSheetId="9">'YAMATO2308~2407 '!$A$1:$H$30</definedName>
    <definedName name="_xlnm.Print_Area" localSheetId="5">'大里さま（国内）'!$A$1:$D$39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51" l="1"/>
  <c r="C86" i="51"/>
  <c r="C80" i="51"/>
  <c r="C62" i="51"/>
  <c r="C61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AE103" i="47"/>
  <c r="C99" i="51" l="1"/>
  <c r="C81" i="51"/>
  <c r="C94" i="51"/>
  <c r="C95" i="51" s="1"/>
  <c r="C102" i="51"/>
  <c r="C103" i="51" s="1"/>
  <c r="C120" i="51"/>
  <c r="C121" i="51" s="1"/>
  <c r="C64" i="51"/>
  <c r="C87" i="51"/>
  <c r="C100" i="51"/>
  <c r="C101" i="51" s="1"/>
  <c r="C108" i="51"/>
  <c r="C109" i="51" s="1"/>
  <c r="C84" i="51"/>
  <c r="C85" i="51" s="1"/>
  <c r="C82" i="51"/>
  <c r="C83" i="51" s="1"/>
  <c r="C90" i="51"/>
  <c r="C91" i="51" s="1"/>
  <c r="C70" i="51"/>
  <c r="C71" i="51" s="1"/>
  <c r="C76" i="51"/>
  <c r="C77" i="51" s="1"/>
  <c r="C88" i="51"/>
  <c r="C89" i="51" s="1"/>
  <c r="C110" i="51"/>
  <c r="C111" i="51" s="1"/>
  <c r="C106" i="51"/>
  <c r="C107" i="51" s="1"/>
  <c r="C114" i="51"/>
  <c r="C115" i="51" s="1"/>
  <c r="C118" i="51"/>
  <c r="C119" i="51" s="1"/>
  <c r="C92" i="51"/>
  <c r="C93" i="51" s="1"/>
  <c r="C96" i="51"/>
  <c r="C97" i="51" s="1"/>
  <c r="C104" i="51"/>
  <c r="C105" i="51" s="1"/>
  <c r="C116" i="51"/>
  <c r="C117" i="51" s="1"/>
  <c r="C146" i="51"/>
  <c r="C147" i="51" s="1"/>
  <c r="AE100" i="47"/>
  <c r="AE90" i="47"/>
  <c r="AE62" i="47"/>
  <c r="C152" i="51" l="1"/>
  <c r="D161" i="51"/>
  <c r="D152" i="51"/>
  <c r="E152" i="51" s="1"/>
  <c r="C68" i="51"/>
  <c r="C69" i="51" s="1"/>
  <c r="C78" i="51"/>
  <c r="C79" i="51" s="1"/>
  <c r="C65" i="51"/>
  <c r="C74" i="51"/>
  <c r="C75" i="51" s="1"/>
  <c r="C72" i="51"/>
  <c r="C73" i="51" s="1"/>
  <c r="AE105" i="47"/>
  <c r="AE155" i="47"/>
  <c r="AF156" i="47"/>
  <c r="AF11" i="47"/>
  <c r="AF165" i="47" s="1"/>
  <c r="C66" i="51" l="1"/>
  <c r="C67" i="51" s="1"/>
  <c r="C154" i="51"/>
  <c r="C155" i="51" s="1"/>
  <c r="C153" i="51"/>
  <c r="AF12" i="47"/>
  <c r="AF76" i="47" l="1"/>
  <c r="AF10" i="47"/>
  <c r="AE156" i="47" l="1"/>
  <c r="I12" i="39" l="1"/>
  <c r="I20" i="39" s="1"/>
  <c r="I4" i="39"/>
  <c r="E88" i="43"/>
  <c r="I13" i="39" l="1"/>
  <c r="I31" i="39" s="1"/>
  <c r="H12" i="39"/>
  <c r="H13" i="39"/>
  <c r="H31" i="39" s="1"/>
  <c r="H20" i="39"/>
  <c r="H4" i="39"/>
  <c r="D278" i="49"/>
  <c r="T256" i="47"/>
  <c r="AB286" i="47"/>
  <c r="AD106" i="47"/>
  <c r="AD156" i="47"/>
  <c r="AD92" i="47"/>
  <c r="AD157" i="47" l="1"/>
  <c r="H5" i="48"/>
  <c r="I142" i="37"/>
  <c r="I143" i="37"/>
  <c r="D142" i="37"/>
  <c r="G137" i="37" s="1"/>
  <c r="H7" i="38"/>
  <c r="H7" i="48"/>
  <c r="G7" i="48"/>
  <c r="AD100" i="47"/>
  <c r="AC7" i="47" l="1"/>
  <c r="AC45" i="47" l="1"/>
  <c r="K6" i="39" l="1"/>
  <c r="G4" i="39" l="1"/>
  <c r="G3" i="39"/>
  <c r="G11" i="39" s="1"/>
  <c r="G12" i="39" s="1"/>
  <c r="G13" i="39" s="1"/>
  <c r="G6" i="39" l="1"/>
  <c r="H237" i="49" l="1"/>
  <c r="H11" i="49"/>
  <c r="H10" i="49"/>
  <c r="H100" i="49"/>
  <c r="H94" i="49"/>
  <c r="H98" i="49"/>
  <c r="H60" i="49"/>
  <c r="H42" i="49"/>
  <c r="H40" i="49"/>
  <c r="H12" i="49"/>
  <c r="H8" i="49"/>
  <c r="G20" i="39" l="1"/>
  <c r="F11" i="39"/>
  <c r="G8" i="39"/>
  <c r="Z156" i="47" l="1"/>
  <c r="AB247" i="47" l="1"/>
  <c r="AB159" i="47"/>
  <c r="AB160" i="47" s="1"/>
  <c r="AB158" i="47"/>
  <c r="AB106" i="47"/>
  <c r="AB157" i="47"/>
  <c r="AB156" i="47"/>
  <c r="AB12" i="47"/>
  <c r="AB11" i="47"/>
  <c r="AB10" i="47"/>
  <c r="AA79" i="47"/>
  <c r="AA156" i="47" l="1"/>
  <c r="AA106" i="47"/>
  <c r="AA80" i="47"/>
  <c r="Z76" i="47"/>
  <c r="AA11" i="47"/>
  <c r="AA104" i="47"/>
  <c r="Z155" i="47"/>
  <c r="Z19" i="47"/>
  <c r="Z105" i="47"/>
  <c r="Z92" i="47"/>
  <c r="AA157" i="47" l="1"/>
  <c r="AC156" i="47"/>
  <c r="AC102" i="47" l="1"/>
  <c r="V105" i="47"/>
  <c r="AC105" i="47" l="1"/>
  <c r="AC100" i="47"/>
  <c r="AC96" i="47"/>
  <c r="AC90" i="47"/>
  <c r="AC82" i="47"/>
  <c r="AC80" i="47"/>
  <c r="AC76" i="47"/>
  <c r="AC74" i="47"/>
  <c r="AC70" i="47"/>
  <c r="AC38" i="47"/>
  <c r="AC11" i="47"/>
  <c r="H14" i="48" l="1"/>
  <c r="H25" i="48" s="1"/>
  <c r="D29" i="48" s="1"/>
  <c r="G14" i="48"/>
  <c r="G25" i="48"/>
  <c r="F25" i="48"/>
  <c r="D25" i="48"/>
  <c r="H4" i="48" l="1"/>
  <c r="W142" i="49"/>
  <c r="F7" i="48"/>
  <c r="L18" i="48"/>
  <c r="Y252" i="47"/>
  <c r="H8" i="48" l="1"/>
  <c r="H9" i="48" s="1"/>
  <c r="Y171" i="47"/>
  <c r="Y172" i="47" s="1"/>
  <c r="Y156" i="47"/>
  <c r="Y106" i="47"/>
  <c r="X106" i="47"/>
  <c r="Y96" i="47"/>
  <c r="X22" i="47"/>
  <c r="Y22" i="47"/>
  <c r="Y18" i="47"/>
  <c r="X40" i="47"/>
  <c r="V28" i="47"/>
  <c r="R28" i="47"/>
  <c r="Y157" i="47" l="1"/>
  <c r="Y158" i="47" s="1"/>
  <c r="D43" i="37"/>
  <c r="E7" i="49" l="1"/>
  <c r="R156" i="47" l="1"/>
  <c r="T155" i="47"/>
  <c r="U147" i="49"/>
  <c r="U103" i="49"/>
  <c r="U102" i="49"/>
  <c r="U101" i="49"/>
  <c r="U5" i="49"/>
  <c r="U7" i="49"/>
  <c r="U9" i="49"/>
  <c r="U13" i="49"/>
  <c r="U15" i="49"/>
  <c r="U17" i="49"/>
  <c r="U19" i="49"/>
  <c r="U21" i="49"/>
  <c r="U23" i="49"/>
  <c r="U25" i="49"/>
  <c r="U27" i="49"/>
  <c r="U29" i="49"/>
  <c r="U31" i="49"/>
  <c r="U32" i="49"/>
  <c r="U33" i="49"/>
  <c r="U35" i="49"/>
  <c r="U37" i="49"/>
  <c r="U39" i="49"/>
  <c r="U41" i="49"/>
  <c r="U43" i="49"/>
  <c r="U45" i="49"/>
  <c r="U47" i="49"/>
  <c r="U49" i="49"/>
  <c r="U51" i="49"/>
  <c r="U53" i="49"/>
  <c r="U54" i="49"/>
  <c r="U57" i="49"/>
  <c r="U59" i="49"/>
  <c r="U61" i="49"/>
  <c r="U63" i="49"/>
  <c r="U65" i="49"/>
  <c r="U66" i="49"/>
  <c r="U67" i="49"/>
  <c r="U69" i="49"/>
  <c r="U71" i="49"/>
  <c r="U73" i="49"/>
  <c r="U75" i="49"/>
  <c r="U77" i="49"/>
  <c r="U78" i="49"/>
  <c r="U81" i="49"/>
  <c r="U83" i="49"/>
  <c r="U85" i="49"/>
  <c r="U87" i="49"/>
  <c r="U88" i="49"/>
  <c r="U89" i="49"/>
  <c r="U90" i="49"/>
  <c r="U91" i="49"/>
  <c r="U93" i="49"/>
  <c r="U95" i="49"/>
  <c r="U99" i="49"/>
  <c r="U3" i="49"/>
  <c r="AG9" i="47" l="1"/>
  <c r="AG17" i="47"/>
  <c r="AG21" i="47"/>
  <c r="AG23" i="47"/>
  <c r="AG25" i="47"/>
  <c r="AG29" i="47"/>
  <c r="AG31" i="47"/>
  <c r="AG32" i="47"/>
  <c r="AG33" i="47"/>
  <c r="AG37" i="47"/>
  <c r="AG39" i="47"/>
  <c r="AG41" i="47"/>
  <c r="AG47" i="47"/>
  <c r="AG49" i="47"/>
  <c r="AG51" i="47"/>
  <c r="AG53" i="47"/>
  <c r="AG57" i="47"/>
  <c r="AG61" i="47"/>
  <c r="AG63" i="47"/>
  <c r="AG65" i="47"/>
  <c r="AG67" i="47"/>
  <c r="AG69" i="47"/>
  <c r="AG71" i="47"/>
  <c r="AG73" i="47"/>
  <c r="AG77" i="47"/>
  <c r="AG83" i="47"/>
  <c r="AG85" i="47"/>
  <c r="AG87" i="47"/>
  <c r="AG89" i="47"/>
  <c r="AG91" i="47"/>
  <c r="AG93" i="47"/>
  <c r="AG95" i="47"/>
  <c r="AG101" i="47"/>
  <c r="AG3" i="47"/>
  <c r="X156" i="47"/>
  <c r="W156" i="47"/>
  <c r="V156" i="47" l="1"/>
  <c r="U155" i="47"/>
  <c r="U142" i="47"/>
  <c r="T225" i="47" l="1"/>
  <c r="U225" i="47"/>
  <c r="W76" i="47" l="1"/>
  <c r="G74" i="49" l="1"/>
  <c r="V80" i="47" l="1"/>
  <c r="U80" i="47" l="1"/>
  <c r="U106" i="47"/>
  <c r="T105" i="47"/>
  <c r="U156" i="47"/>
  <c r="U159" i="47"/>
  <c r="U160" i="47" s="1"/>
  <c r="G52" i="49"/>
  <c r="H52" i="49"/>
  <c r="I52" i="49"/>
  <c r="J52" i="49"/>
  <c r="K52" i="49"/>
  <c r="L52" i="49"/>
  <c r="M52" i="49"/>
  <c r="N52" i="49"/>
  <c r="O52" i="49"/>
  <c r="P52" i="49"/>
  <c r="Q52" i="49"/>
  <c r="R52" i="49"/>
  <c r="S52" i="49"/>
  <c r="T52" i="49"/>
  <c r="E96" i="49"/>
  <c r="F96" i="49"/>
  <c r="G96" i="49"/>
  <c r="G62" i="49"/>
  <c r="F62" i="49"/>
  <c r="V74" i="47"/>
  <c r="V72" i="47"/>
  <c r="V52" i="47"/>
  <c r="U62" i="49" l="1"/>
  <c r="U157" i="47"/>
  <c r="U158" i="47" s="1"/>
  <c r="U247" i="47"/>
  <c r="U286" i="47" s="1"/>
  <c r="V19" i="47"/>
  <c r="G25" i="38" l="1"/>
  <c r="V96" i="47"/>
  <c r="AG96" i="47" s="1"/>
  <c r="V78" i="47"/>
  <c r="V12" i="47"/>
  <c r="V60" i="47"/>
  <c r="W60" i="47"/>
  <c r="X60" i="47"/>
  <c r="V70" i="47"/>
  <c r="R260" i="47"/>
  <c r="Q250" i="47"/>
  <c r="I6" i="48" l="1"/>
  <c r="G5" i="48"/>
  <c r="G8" i="48" s="1"/>
  <c r="G9" i="48" s="1"/>
  <c r="G4" i="48"/>
  <c r="I3" i="48"/>
  <c r="D16" i="50"/>
  <c r="D14" i="50"/>
  <c r="B13" i="50"/>
  <c r="D18" i="50" s="1"/>
  <c r="D9" i="50"/>
  <c r="D8" i="50"/>
  <c r="D7" i="50"/>
  <c r="D6" i="50"/>
  <c r="D5" i="50"/>
  <c r="D4" i="50"/>
  <c r="D3" i="50"/>
  <c r="D2" i="50"/>
  <c r="D1" i="50"/>
  <c r="T99" i="47" l="1"/>
  <c r="AG99" i="47" s="1"/>
  <c r="T43" i="47"/>
  <c r="T156" i="47"/>
  <c r="T247" i="47" l="1"/>
  <c r="F80" i="49"/>
  <c r="S142" i="47" l="1"/>
  <c r="S79" i="47"/>
  <c r="D100" i="49"/>
  <c r="T235" i="47" l="1"/>
  <c r="T236" i="47" s="1"/>
  <c r="T106" i="47"/>
  <c r="T44" i="47"/>
  <c r="T42" i="47"/>
  <c r="T100" i="47"/>
  <c r="V100" i="47"/>
  <c r="T94" i="47"/>
  <c r="AG94" i="47" s="1"/>
  <c r="W90" i="47"/>
  <c r="V90" i="47"/>
  <c r="T90" i="47"/>
  <c r="T84" i="47"/>
  <c r="V84" i="47"/>
  <c r="W84" i="47"/>
  <c r="T82" i="47"/>
  <c r="V82" i="47"/>
  <c r="W82" i="47"/>
  <c r="S76" i="47"/>
  <c r="T76" i="47"/>
  <c r="V76" i="47"/>
  <c r="T70" i="47"/>
  <c r="W70" i="47"/>
  <c r="X70" i="47"/>
  <c r="Y70" i="47"/>
  <c r="T66" i="47"/>
  <c r="T56" i="47"/>
  <c r="T60" i="47"/>
  <c r="T46" i="47"/>
  <c r="T40" i="47"/>
  <c r="S34" i="47"/>
  <c r="T34" i="47"/>
  <c r="T30" i="47"/>
  <c r="T26" i="47"/>
  <c r="V26" i="47"/>
  <c r="T20" i="47"/>
  <c r="V20" i="47"/>
  <c r="T18" i="47"/>
  <c r="V18" i="47"/>
  <c r="W18" i="47"/>
  <c r="S16" i="47"/>
  <c r="T16" i="47"/>
  <c r="T14" i="47"/>
  <c r="T11" i="47"/>
  <c r="T12" i="47" s="1"/>
  <c r="T10" i="47"/>
  <c r="T8" i="47"/>
  <c r="G156" i="47"/>
  <c r="I156" i="47"/>
  <c r="J156" i="47"/>
  <c r="L156" i="47"/>
  <c r="M156" i="47"/>
  <c r="N156" i="47"/>
  <c r="P156" i="47"/>
  <c r="Q156" i="47"/>
  <c r="S156" i="47"/>
  <c r="D156" i="47"/>
  <c r="T157" i="47" l="1"/>
  <c r="T159" i="47"/>
  <c r="T160" i="47" s="1"/>
  <c r="E148" i="49"/>
  <c r="T158" i="47" l="1"/>
  <c r="E79" i="49"/>
  <c r="U79" i="49" s="1"/>
  <c r="N250" i="47" l="1"/>
  <c r="J250" i="47"/>
  <c r="K250" i="47" s="1"/>
  <c r="L250" i="47" s="1"/>
  <c r="S80" i="47"/>
  <c r="S11" i="47"/>
  <c r="S8" i="47"/>
  <c r="AG108" i="47"/>
  <c r="AG109" i="47"/>
  <c r="AG110" i="47"/>
  <c r="AG111" i="47"/>
  <c r="AG112" i="47"/>
  <c r="AG113" i="47"/>
  <c r="AG114" i="47"/>
  <c r="AG115" i="47"/>
  <c r="AG116" i="47"/>
  <c r="AG117" i="47"/>
  <c r="AG118" i="47"/>
  <c r="AG119" i="47"/>
  <c r="AG120" i="47"/>
  <c r="AG121" i="47"/>
  <c r="AG122" i="47"/>
  <c r="AG123" i="47"/>
  <c r="AG124" i="47"/>
  <c r="AG125" i="47"/>
  <c r="AG126" i="47"/>
  <c r="AG127" i="47"/>
  <c r="AG128" i="47"/>
  <c r="AG129" i="47"/>
  <c r="AG130" i="47"/>
  <c r="AG131" i="47"/>
  <c r="AG132" i="47"/>
  <c r="AG133" i="47"/>
  <c r="AG134" i="47"/>
  <c r="AG135" i="47"/>
  <c r="AG136" i="47"/>
  <c r="AG137" i="47"/>
  <c r="AG138" i="47"/>
  <c r="AG139" i="47"/>
  <c r="AG140" i="47"/>
  <c r="AG141" i="47"/>
  <c r="AG143" i="47"/>
  <c r="AG144" i="47"/>
  <c r="AG145" i="47"/>
  <c r="AG146" i="47"/>
  <c r="AG147" i="47"/>
  <c r="AG148" i="47"/>
  <c r="AG152" i="47"/>
  <c r="AG153" i="47"/>
  <c r="AG107" i="47"/>
  <c r="P59" i="47"/>
  <c r="P60" i="47" l="1"/>
  <c r="AG59" i="47"/>
  <c r="P14" i="47"/>
  <c r="D73" i="37"/>
  <c r="R105" i="47" l="1"/>
  <c r="R34" i="47"/>
  <c r="P80" i="47"/>
  <c r="P79" i="47"/>
  <c r="R90" i="47"/>
  <c r="R80" i="47"/>
  <c r="R68" i="47"/>
  <c r="R66" i="47"/>
  <c r="R45" i="47"/>
  <c r="R46" i="47" s="1"/>
  <c r="R38" i="47"/>
  <c r="R26" i="47"/>
  <c r="R43" i="47"/>
  <c r="P43" i="47"/>
  <c r="Q43" i="47"/>
  <c r="R8" i="47" l="1"/>
  <c r="Q7" i="47"/>
  <c r="AG7" i="47" s="1"/>
  <c r="R40" i="47" l="1"/>
  <c r="R19" i="47" l="1"/>
  <c r="Q19" i="47"/>
  <c r="AG19" i="47" s="1"/>
  <c r="Q105" i="47"/>
  <c r="R20" i="47"/>
  <c r="D42" i="49" l="1"/>
  <c r="R100" i="47"/>
  <c r="Q11" i="47" l="1"/>
  <c r="R11" i="47"/>
  <c r="R12" i="47" s="1"/>
  <c r="R10" i="47"/>
  <c r="R5" i="47"/>
  <c r="AG5" i="47" s="1"/>
  <c r="P22" i="47"/>
  <c r="Q22" i="47"/>
  <c r="R22" i="47"/>
  <c r="R35" i="47"/>
  <c r="R75" i="47"/>
  <c r="R76" i="47" s="1"/>
  <c r="R84" i="47"/>
  <c r="Q16" i="47"/>
  <c r="R15" i="47"/>
  <c r="R13" i="47"/>
  <c r="R81" i="47"/>
  <c r="R82" i="47" l="1"/>
  <c r="AG81" i="47"/>
  <c r="R16" i="47"/>
  <c r="AG15" i="47"/>
  <c r="R36" i="47"/>
  <c r="AG35" i="47"/>
  <c r="R106" i="47"/>
  <c r="R70" i="47"/>
  <c r="D56" i="49"/>
  <c r="U56" i="49" s="1"/>
  <c r="D148" i="49" l="1"/>
  <c r="Z243" i="49" s="1"/>
  <c r="O76" i="47" l="1"/>
  <c r="Q58" i="47"/>
  <c r="R58" i="47"/>
  <c r="S58" i="47"/>
  <c r="T58" i="47"/>
  <c r="V58" i="47"/>
  <c r="Q82" i="47"/>
  <c r="R74" i="47"/>
  <c r="S74" i="47"/>
  <c r="T74" i="47"/>
  <c r="Q74" i="47"/>
  <c r="P92" i="47" l="1"/>
  <c r="P11" i="47"/>
  <c r="O105" i="47" l="1"/>
  <c r="O155" i="47"/>
  <c r="O156" i="47" s="1"/>
  <c r="K105" i="47" l="1"/>
  <c r="F9" i="37"/>
  <c r="D11" i="49"/>
  <c r="U11" i="49" s="1"/>
  <c r="J237" i="49"/>
  <c r="J276" i="49" s="1"/>
  <c r="T231" i="49"/>
  <c r="T232" i="49" s="1"/>
  <c r="S231" i="49"/>
  <c r="S232" i="49" s="1"/>
  <c r="R231" i="49"/>
  <c r="R232" i="49" s="1"/>
  <c r="Q231" i="49"/>
  <c r="Q232" i="49" s="1"/>
  <c r="P231" i="49"/>
  <c r="P232" i="49" s="1"/>
  <c r="O231" i="49"/>
  <c r="O232" i="49" s="1"/>
  <c r="N231" i="49"/>
  <c r="N232" i="49" s="1"/>
  <c r="M231" i="49"/>
  <c r="M232" i="49" s="1"/>
  <c r="L231" i="49"/>
  <c r="L232" i="49" s="1"/>
  <c r="G231" i="49"/>
  <c r="G232" i="49" s="1"/>
  <c r="F231" i="49"/>
  <c r="F232" i="49" s="1"/>
  <c r="E231" i="49"/>
  <c r="E232" i="49" s="1"/>
  <c r="D231" i="49"/>
  <c r="D232" i="49" s="1"/>
  <c r="T229" i="49"/>
  <c r="T230" i="49" s="1"/>
  <c r="S229" i="49"/>
  <c r="S230" i="49" s="1"/>
  <c r="R229" i="49"/>
  <c r="R230" i="49" s="1"/>
  <c r="Q229" i="49"/>
  <c r="Q230" i="49" s="1"/>
  <c r="P229" i="49"/>
  <c r="P230" i="49" s="1"/>
  <c r="O229" i="49"/>
  <c r="O230" i="49" s="1"/>
  <c r="N229" i="49"/>
  <c r="N230" i="49" s="1"/>
  <c r="M229" i="49"/>
  <c r="M230" i="49" s="1"/>
  <c r="L229" i="49"/>
  <c r="L230" i="49" s="1"/>
  <c r="K229" i="49"/>
  <c r="K230" i="49" s="1"/>
  <c r="I229" i="49"/>
  <c r="I230" i="49" s="1"/>
  <c r="H229" i="49"/>
  <c r="H230" i="49" s="1"/>
  <c r="G229" i="49"/>
  <c r="G230" i="49" s="1"/>
  <c r="F229" i="49"/>
  <c r="F230" i="49" s="1"/>
  <c r="E229" i="49"/>
  <c r="E230" i="49" s="1"/>
  <c r="D229" i="49"/>
  <c r="D230" i="49" s="1"/>
  <c r="T227" i="49"/>
  <c r="T228" i="49" s="1"/>
  <c r="S227" i="49"/>
  <c r="S228" i="49" s="1"/>
  <c r="R227" i="49"/>
  <c r="R228" i="49" s="1"/>
  <c r="Q227" i="49"/>
  <c r="Q228" i="49" s="1"/>
  <c r="P227" i="49"/>
  <c r="P228" i="49" s="1"/>
  <c r="O227" i="49"/>
  <c r="O228" i="49" s="1"/>
  <c r="N227" i="49"/>
  <c r="N228" i="49" s="1"/>
  <c r="M227" i="49"/>
  <c r="M228" i="49" s="1"/>
  <c r="L227" i="49"/>
  <c r="L228" i="49" s="1"/>
  <c r="K227" i="49"/>
  <c r="K228" i="49" s="1"/>
  <c r="I227" i="49"/>
  <c r="I228" i="49" s="1"/>
  <c r="H227" i="49"/>
  <c r="H228" i="49" s="1"/>
  <c r="G227" i="49"/>
  <c r="G228" i="49" s="1"/>
  <c r="F227" i="49"/>
  <c r="F228" i="49" s="1"/>
  <c r="E227" i="49"/>
  <c r="E228" i="49" s="1"/>
  <c r="D227" i="49"/>
  <c r="D228" i="49" s="1"/>
  <c r="T217" i="49"/>
  <c r="S217" i="49"/>
  <c r="R217" i="49"/>
  <c r="Q217" i="49"/>
  <c r="P217" i="49"/>
  <c r="O217" i="49"/>
  <c r="N217" i="49"/>
  <c r="M217" i="49"/>
  <c r="L217" i="49"/>
  <c r="K217" i="49"/>
  <c r="I217" i="49"/>
  <c r="H217" i="49"/>
  <c r="G217" i="49"/>
  <c r="F217" i="49"/>
  <c r="E217" i="49"/>
  <c r="D217" i="49"/>
  <c r="T215" i="49"/>
  <c r="T216" i="49" s="1"/>
  <c r="S215" i="49"/>
  <c r="S216" i="49" s="1"/>
  <c r="R215" i="49"/>
  <c r="R216" i="49" s="1"/>
  <c r="Q215" i="49"/>
  <c r="Q216" i="49" s="1"/>
  <c r="P215" i="49"/>
  <c r="P216" i="49" s="1"/>
  <c r="O215" i="49"/>
  <c r="O216" i="49" s="1"/>
  <c r="N215" i="49"/>
  <c r="N216" i="49" s="1"/>
  <c r="M215" i="49"/>
  <c r="M216" i="49" s="1"/>
  <c r="L215" i="49"/>
  <c r="L216" i="49" s="1"/>
  <c r="K215" i="49"/>
  <c r="K216" i="49" s="1"/>
  <c r="I215" i="49"/>
  <c r="I216" i="49" s="1"/>
  <c r="H215" i="49"/>
  <c r="H216" i="49" s="1"/>
  <c r="G215" i="49"/>
  <c r="G216" i="49" s="1"/>
  <c r="F215" i="49"/>
  <c r="F216" i="49" s="1"/>
  <c r="E215" i="49"/>
  <c r="E216" i="49" s="1"/>
  <c r="D215" i="49"/>
  <c r="D216" i="49" s="1"/>
  <c r="T213" i="49"/>
  <c r="T214" i="49" s="1"/>
  <c r="S213" i="49"/>
  <c r="S214" i="49" s="1"/>
  <c r="R213" i="49"/>
  <c r="R214" i="49" s="1"/>
  <c r="Q213" i="49"/>
  <c r="Q214" i="49" s="1"/>
  <c r="P213" i="49"/>
  <c r="P214" i="49" s="1"/>
  <c r="O213" i="49"/>
  <c r="O214" i="49" s="1"/>
  <c r="N213" i="49"/>
  <c r="N214" i="49" s="1"/>
  <c r="M213" i="49"/>
  <c r="M214" i="49" s="1"/>
  <c r="L213" i="49"/>
  <c r="L214" i="49" s="1"/>
  <c r="K213" i="49"/>
  <c r="K214" i="49" s="1"/>
  <c r="I213" i="49"/>
  <c r="I214" i="49" s="1"/>
  <c r="H213" i="49"/>
  <c r="H214" i="49" s="1"/>
  <c r="G213" i="49"/>
  <c r="G214" i="49" s="1"/>
  <c r="F213" i="49"/>
  <c r="F214" i="49" s="1"/>
  <c r="E213" i="49"/>
  <c r="E214" i="49" s="1"/>
  <c r="D213" i="49"/>
  <c r="D214" i="49" s="1"/>
  <c r="T211" i="49"/>
  <c r="T212" i="49" s="1"/>
  <c r="S211" i="49"/>
  <c r="S212" i="49" s="1"/>
  <c r="R211" i="49"/>
  <c r="R212" i="49" s="1"/>
  <c r="Q211" i="49"/>
  <c r="Q212" i="49" s="1"/>
  <c r="P211" i="49"/>
  <c r="P212" i="49" s="1"/>
  <c r="O211" i="49"/>
  <c r="O212" i="49" s="1"/>
  <c r="N211" i="49"/>
  <c r="N212" i="49" s="1"/>
  <c r="M211" i="49"/>
  <c r="M212" i="49" s="1"/>
  <c r="L211" i="49"/>
  <c r="L212" i="49" s="1"/>
  <c r="K211" i="49"/>
  <c r="K212" i="49" s="1"/>
  <c r="I211" i="49"/>
  <c r="I212" i="49" s="1"/>
  <c r="H211" i="49"/>
  <c r="H212" i="49" s="1"/>
  <c r="G211" i="49"/>
  <c r="G212" i="49" s="1"/>
  <c r="F211" i="49"/>
  <c r="F212" i="49" s="1"/>
  <c r="E211" i="49"/>
  <c r="E212" i="49" s="1"/>
  <c r="D211" i="49"/>
  <c r="D212" i="49" s="1"/>
  <c r="T209" i="49"/>
  <c r="T210" i="49" s="1"/>
  <c r="S209" i="49"/>
  <c r="S210" i="49" s="1"/>
  <c r="R209" i="49"/>
  <c r="R210" i="49" s="1"/>
  <c r="Q209" i="49"/>
  <c r="Q210" i="49" s="1"/>
  <c r="P209" i="49"/>
  <c r="P210" i="49" s="1"/>
  <c r="O209" i="49"/>
  <c r="O210" i="49" s="1"/>
  <c r="N209" i="49"/>
  <c r="N210" i="49" s="1"/>
  <c r="M209" i="49"/>
  <c r="M210" i="49" s="1"/>
  <c r="L209" i="49"/>
  <c r="L210" i="49" s="1"/>
  <c r="K209" i="49"/>
  <c r="K210" i="49" s="1"/>
  <c r="I209" i="49"/>
  <c r="I210" i="49" s="1"/>
  <c r="H209" i="49"/>
  <c r="H210" i="49" s="1"/>
  <c r="G209" i="49"/>
  <c r="G210" i="49" s="1"/>
  <c r="F209" i="49"/>
  <c r="F210" i="49" s="1"/>
  <c r="E209" i="49"/>
  <c r="E210" i="49" s="1"/>
  <c r="D209" i="49"/>
  <c r="D210" i="49" s="1"/>
  <c r="T207" i="49"/>
  <c r="T208" i="49" s="1"/>
  <c r="S207" i="49"/>
  <c r="S208" i="49" s="1"/>
  <c r="R207" i="49"/>
  <c r="R208" i="49" s="1"/>
  <c r="Q207" i="49"/>
  <c r="Q208" i="49" s="1"/>
  <c r="P207" i="49"/>
  <c r="P208" i="49" s="1"/>
  <c r="O207" i="49"/>
  <c r="O208" i="49" s="1"/>
  <c r="N207" i="49"/>
  <c r="N208" i="49" s="1"/>
  <c r="M207" i="49"/>
  <c r="M208" i="49" s="1"/>
  <c r="L207" i="49"/>
  <c r="L208" i="49" s="1"/>
  <c r="K207" i="49"/>
  <c r="K208" i="49" s="1"/>
  <c r="I207" i="49"/>
  <c r="I208" i="49" s="1"/>
  <c r="H207" i="49"/>
  <c r="H208" i="49" s="1"/>
  <c r="G207" i="49"/>
  <c r="G208" i="49" s="1"/>
  <c r="F207" i="49"/>
  <c r="F208" i="49" s="1"/>
  <c r="E207" i="49"/>
  <c r="E208" i="49" s="1"/>
  <c r="D207" i="49"/>
  <c r="D208" i="49" s="1"/>
  <c r="T205" i="49"/>
  <c r="T206" i="49" s="1"/>
  <c r="S205" i="49"/>
  <c r="S206" i="49" s="1"/>
  <c r="R205" i="49"/>
  <c r="R206" i="49" s="1"/>
  <c r="Q205" i="49"/>
  <c r="Q206" i="49" s="1"/>
  <c r="P205" i="49"/>
  <c r="P206" i="49" s="1"/>
  <c r="O205" i="49"/>
  <c r="O206" i="49" s="1"/>
  <c r="N205" i="49"/>
  <c r="N206" i="49" s="1"/>
  <c r="M205" i="49"/>
  <c r="M206" i="49" s="1"/>
  <c r="L205" i="49"/>
  <c r="L206" i="49" s="1"/>
  <c r="K205" i="49"/>
  <c r="K206" i="49" s="1"/>
  <c r="I205" i="49"/>
  <c r="I206" i="49" s="1"/>
  <c r="H205" i="49"/>
  <c r="H206" i="49" s="1"/>
  <c r="G205" i="49"/>
  <c r="G206" i="49" s="1"/>
  <c r="F205" i="49"/>
  <c r="F206" i="49" s="1"/>
  <c r="E205" i="49"/>
  <c r="E206" i="49" s="1"/>
  <c r="D205" i="49"/>
  <c r="D206" i="49" s="1"/>
  <c r="T203" i="49"/>
  <c r="T204" i="49" s="1"/>
  <c r="S203" i="49"/>
  <c r="S204" i="49" s="1"/>
  <c r="R203" i="49"/>
  <c r="R204" i="49" s="1"/>
  <c r="Q203" i="49"/>
  <c r="Q204" i="49" s="1"/>
  <c r="P203" i="49"/>
  <c r="P204" i="49" s="1"/>
  <c r="O203" i="49"/>
  <c r="O204" i="49" s="1"/>
  <c r="N203" i="49"/>
  <c r="N204" i="49" s="1"/>
  <c r="M203" i="49"/>
  <c r="M204" i="49" s="1"/>
  <c r="L203" i="49"/>
  <c r="L204" i="49" s="1"/>
  <c r="K203" i="49"/>
  <c r="K204" i="49" s="1"/>
  <c r="I203" i="49"/>
  <c r="I204" i="49" s="1"/>
  <c r="H203" i="49"/>
  <c r="H204" i="49" s="1"/>
  <c r="G203" i="49"/>
  <c r="G204" i="49" s="1"/>
  <c r="F203" i="49"/>
  <c r="F204" i="49" s="1"/>
  <c r="E203" i="49"/>
  <c r="E204" i="49" s="1"/>
  <c r="D203" i="49"/>
  <c r="D204" i="49" s="1"/>
  <c r="T201" i="49"/>
  <c r="T202" i="49" s="1"/>
  <c r="S201" i="49"/>
  <c r="S202" i="49" s="1"/>
  <c r="R201" i="49"/>
  <c r="R202" i="49" s="1"/>
  <c r="Q201" i="49"/>
  <c r="Q202" i="49" s="1"/>
  <c r="P201" i="49"/>
  <c r="P202" i="49" s="1"/>
  <c r="O201" i="49"/>
  <c r="O202" i="49" s="1"/>
  <c r="N201" i="49"/>
  <c r="N202" i="49" s="1"/>
  <c r="M201" i="49"/>
  <c r="M202" i="49" s="1"/>
  <c r="L201" i="49"/>
  <c r="L202" i="49" s="1"/>
  <c r="K201" i="49"/>
  <c r="K202" i="49" s="1"/>
  <c r="I201" i="49"/>
  <c r="I202" i="49" s="1"/>
  <c r="H201" i="49"/>
  <c r="H202" i="49" s="1"/>
  <c r="G201" i="49"/>
  <c r="G202" i="49" s="1"/>
  <c r="F201" i="49"/>
  <c r="F202" i="49" s="1"/>
  <c r="E201" i="49"/>
  <c r="E202" i="49" s="1"/>
  <c r="D201" i="49"/>
  <c r="D202" i="49" s="1"/>
  <c r="T199" i="49"/>
  <c r="T200" i="49" s="1"/>
  <c r="S199" i="49"/>
  <c r="S200" i="49" s="1"/>
  <c r="R199" i="49"/>
  <c r="R200" i="49" s="1"/>
  <c r="Q199" i="49"/>
  <c r="Q200" i="49" s="1"/>
  <c r="P199" i="49"/>
  <c r="P200" i="49" s="1"/>
  <c r="O199" i="49"/>
  <c r="O200" i="49" s="1"/>
  <c r="N199" i="49"/>
  <c r="N200" i="49" s="1"/>
  <c r="M199" i="49"/>
  <c r="M200" i="49" s="1"/>
  <c r="L199" i="49"/>
  <c r="L200" i="49" s="1"/>
  <c r="K199" i="49"/>
  <c r="K200" i="49" s="1"/>
  <c r="I199" i="49"/>
  <c r="I200" i="49" s="1"/>
  <c r="H199" i="49"/>
  <c r="H200" i="49" s="1"/>
  <c r="G199" i="49"/>
  <c r="G200" i="49" s="1"/>
  <c r="F199" i="49"/>
  <c r="F200" i="49" s="1"/>
  <c r="E199" i="49"/>
  <c r="E200" i="49" s="1"/>
  <c r="D199" i="49"/>
  <c r="D200" i="49" s="1"/>
  <c r="N197" i="49"/>
  <c r="N198" i="49" s="1"/>
  <c r="M197" i="49"/>
  <c r="M198" i="49" s="1"/>
  <c r="H197" i="49"/>
  <c r="H198" i="49" s="1"/>
  <c r="T193" i="49"/>
  <c r="T194" i="49" s="1"/>
  <c r="S193" i="49"/>
  <c r="S194" i="49" s="1"/>
  <c r="R193" i="49"/>
  <c r="R194" i="49" s="1"/>
  <c r="Q193" i="49"/>
  <c r="Q194" i="49" s="1"/>
  <c r="P193" i="49"/>
  <c r="P194" i="49" s="1"/>
  <c r="O193" i="49"/>
  <c r="O194" i="49" s="1"/>
  <c r="N193" i="49"/>
  <c r="N194" i="49" s="1"/>
  <c r="M193" i="49"/>
  <c r="M194" i="49" s="1"/>
  <c r="L193" i="49"/>
  <c r="L194" i="49" s="1"/>
  <c r="K193" i="49"/>
  <c r="K194" i="49" s="1"/>
  <c r="I193" i="49"/>
  <c r="I194" i="49" s="1"/>
  <c r="H193" i="49"/>
  <c r="H194" i="49" s="1"/>
  <c r="G193" i="49"/>
  <c r="G194" i="49" s="1"/>
  <c r="F193" i="49"/>
  <c r="F194" i="49" s="1"/>
  <c r="E193" i="49"/>
  <c r="E194" i="49" s="1"/>
  <c r="D193" i="49"/>
  <c r="D194" i="49" s="1"/>
  <c r="T191" i="49"/>
  <c r="T192" i="49" s="1"/>
  <c r="S191" i="49"/>
  <c r="S192" i="49" s="1"/>
  <c r="R191" i="49"/>
  <c r="R192" i="49" s="1"/>
  <c r="Q191" i="49"/>
  <c r="Q192" i="49" s="1"/>
  <c r="P191" i="49"/>
  <c r="P192" i="49" s="1"/>
  <c r="O191" i="49"/>
  <c r="O192" i="49" s="1"/>
  <c r="N191" i="49"/>
  <c r="N192" i="49" s="1"/>
  <c r="M191" i="49"/>
  <c r="M192" i="49" s="1"/>
  <c r="L191" i="49"/>
  <c r="L192" i="49" s="1"/>
  <c r="K191" i="49"/>
  <c r="K192" i="49" s="1"/>
  <c r="I191" i="49"/>
  <c r="I192" i="49" s="1"/>
  <c r="H191" i="49"/>
  <c r="H192" i="49" s="1"/>
  <c r="G191" i="49"/>
  <c r="G192" i="49" s="1"/>
  <c r="F191" i="49"/>
  <c r="F192" i="49" s="1"/>
  <c r="E191" i="49"/>
  <c r="E192" i="49" s="1"/>
  <c r="D191" i="49"/>
  <c r="D192" i="49" s="1"/>
  <c r="I190" i="49"/>
  <c r="T189" i="49"/>
  <c r="T190" i="49" s="1"/>
  <c r="S189" i="49"/>
  <c r="S190" i="49" s="1"/>
  <c r="R189" i="49"/>
  <c r="R190" i="49" s="1"/>
  <c r="Q189" i="49"/>
  <c r="Q190" i="49" s="1"/>
  <c r="P189" i="49"/>
  <c r="P190" i="49" s="1"/>
  <c r="O189" i="49"/>
  <c r="O190" i="49" s="1"/>
  <c r="N189" i="49"/>
  <c r="N190" i="49" s="1"/>
  <c r="M189" i="49"/>
  <c r="M190" i="49" s="1"/>
  <c r="L189" i="49"/>
  <c r="L190" i="49" s="1"/>
  <c r="K189" i="49"/>
  <c r="K190" i="49" s="1"/>
  <c r="I189" i="49"/>
  <c r="H189" i="49"/>
  <c r="H190" i="49" s="1"/>
  <c r="G189" i="49"/>
  <c r="G190" i="49" s="1"/>
  <c r="F189" i="49"/>
  <c r="F190" i="49" s="1"/>
  <c r="E189" i="49"/>
  <c r="E190" i="49" s="1"/>
  <c r="D189" i="49"/>
  <c r="D190" i="49" s="1"/>
  <c r="T187" i="49"/>
  <c r="T188" i="49" s="1"/>
  <c r="S187" i="49"/>
  <c r="S188" i="49" s="1"/>
  <c r="R187" i="49"/>
  <c r="R188" i="49" s="1"/>
  <c r="Q187" i="49"/>
  <c r="Q188" i="49" s="1"/>
  <c r="P187" i="49"/>
  <c r="P188" i="49" s="1"/>
  <c r="O187" i="49"/>
  <c r="O188" i="49" s="1"/>
  <c r="N187" i="49"/>
  <c r="N188" i="49" s="1"/>
  <c r="M187" i="49"/>
  <c r="M188" i="49" s="1"/>
  <c r="L187" i="49"/>
  <c r="L188" i="49" s="1"/>
  <c r="K187" i="49"/>
  <c r="K188" i="49" s="1"/>
  <c r="I187" i="49"/>
  <c r="I188" i="49" s="1"/>
  <c r="H187" i="49"/>
  <c r="H188" i="49" s="1"/>
  <c r="G187" i="49"/>
  <c r="G188" i="49" s="1"/>
  <c r="F187" i="49"/>
  <c r="F188" i="49" s="1"/>
  <c r="E187" i="49"/>
  <c r="E188" i="49" s="1"/>
  <c r="D187" i="49"/>
  <c r="D188" i="49" s="1"/>
  <c r="T185" i="49"/>
  <c r="T186" i="49" s="1"/>
  <c r="S185" i="49"/>
  <c r="S186" i="49" s="1"/>
  <c r="R185" i="49"/>
  <c r="R186" i="49" s="1"/>
  <c r="Q185" i="49"/>
  <c r="Q186" i="49" s="1"/>
  <c r="P185" i="49"/>
  <c r="P186" i="49" s="1"/>
  <c r="O185" i="49"/>
  <c r="O186" i="49" s="1"/>
  <c r="N185" i="49"/>
  <c r="N186" i="49" s="1"/>
  <c r="M185" i="49"/>
  <c r="M186" i="49" s="1"/>
  <c r="L185" i="49"/>
  <c r="L186" i="49" s="1"/>
  <c r="K185" i="49"/>
  <c r="K186" i="49" s="1"/>
  <c r="I185" i="49"/>
  <c r="I186" i="49" s="1"/>
  <c r="H185" i="49"/>
  <c r="H186" i="49" s="1"/>
  <c r="G185" i="49"/>
  <c r="G186" i="49" s="1"/>
  <c r="F185" i="49"/>
  <c r="F186" i="49" s="1"/>
  <c r="E185" i="49"/>
  <c r="E186" i="49" s="1"/>
  <c r="D185" i="49"/>
  <c r="D186" i="49" s="1"/>
  <c r="T183" i="49"/>
  <c r="T184" i="49" s="1"/>
  <c r="S183" i="49"/>
  <c r="S184" i="49" s="1"/>
  <c r="R183" i="49"/>
  <c r="R184" i="49" s="1"/>
  <c r="Q183" i="49"/>
  <c r="Q184" i="49" s="1"/>
  <c r="P183" i="49"/>
  <c r="P184" i="49" s="1"/>
  <c r="O183" i="49"/>
  <c r="O184" i="49" s="1"/>
  <c r="N183" i="49"/>
  <c r="N184" i="49" s="1"/>
  <c r="M183" i="49"/>
  <c r="M184" i="49" s="1"/>
  <c r="L183" i="49"/>
  <c r="L184" i="49" s="1"/>
  <c r="K183" i="49"/>
  <c r="K184" i="49" s="1"/>
  <c r="I183" i="49"/>
  <c r="I184" i="49" s="1"/>
  <c r="H183" i="49"/>
  <c r="H184" i="49" s="1"/>
  <c r="G183" i="49"/>
  <c r="G184" i="49" s="1"/>
  <c r="F183" i="49"/>
  <c r="F184" i="49" s="1"/>
  <c r="E183" i="49"/>
  <c r="E184" i="49" s="1"/>
  <c r="D183" i="49"/>
  <c r="D184" i="49" s="1"/>
  <c r="U181" i="49"/>
  <c r="D180" i="49"/>
  <c r="T179" i="49"/>
  <c r="T180" i="49" s="1"/>
  <c r="S179" i="49"/>
  <c r="S180" i="49" s="1"/>
  <c r="R179" i="49"/>
  <c r="R180" i="49" s="1"/>
  <c r="Q179" i="49"/>
  <c r="Q180" i="49" s="1"/>
  <c r="P179" i="49"/>
  <c r="P180" i="49" s="1"/>
  <c r="O179" i="49"/>
  <c r="O180" i="49" s="1"/>
  <c r="N179" i="49"/>
  <c r="N180" i="49" s="1"/>
  <c r="M179" i="49"/>
  <c r="M180" i="49" s="1"/>
  <c r="L179" i="49"/>
  <c r="L180" i="49" s="1"/>
  <c r="K179" i="49"/>
  <c r="K180" i="49" s="1"/>
  <c r="I179" i="49"/>
  <c r="I180" i="49" s="1"/>
  <c r="H179" i="49"/>
  <c r="H180" i="49" s="1"/>
  <c r="G179" i="49"/>
  <c r="G180" i="49" s="1"/>
  <c r="F179" i="49"/>
  <c r="F180" i="49" s="1"/>
  <c r="E179" i="49"/>
  <c r="E180" i="49" s="1"/>
  <c r="T177" i="49"/>
  <c r="S177" i="49"/>
  <c r="R177" i="49"/>
  <c r="Q177" i="49"/>
  <c r="P177" i="49"/>
  <c r="O177" i="49"/>
  <c r="N177" i="49"/>
  <c r="M177" i="49"/>
  <c r="L177" i="49"/>
  <c r="K177" i="49"/>
  <c r="I177" i="49"/>
  <c r="H177" i="49"/>
  <c r="G177" i="49"/>
  <c r="F177" i="49"/>
  <c r="E177" i="49"/>
  <c r="D177" i="49"/>
  <c r="D178" i="49" s="1"/>
  <c r="T175" i="49"/>
  <c r="T176" i="49" s="1"/>
  <c r="S175" i="49"/>
  <c r="S176" i="49" s="1"/>
  <c r="R175" i="49"/>
  <c r="R176" i="49" s="1"/>
  <c r="Q175" i="49"/>
  <c r="Q176" i="49" s="1"/>
  <c r="P175" i="49"/>
  <c r="P176" i="49" s="1"/>
  <c r="O175" i="49"/>
  <c r="O176" i="49" s="1"/>
  <c r="N175" i="49"/>
  <c r="N176" i="49" s="1"/>
  <c r="M175" i="49"/>
  <c r="M176" i="49" s="1"/>
  <c r="L175" i="49"/>
  <c r="L176" i="49" s="1"/>
  <c r="K175" i="49"/>
  <c r="K176" i="49" s="1"/>
  <c r="I175" i="49"/>
  <c r="I176" i="49" s="1"/>
  <c r="H175" i="49"/>
  <c r="H176" i="49" s="1"/>
  <c r="G175" i="49"/>
  <c r="G176" i="49" s="1"/>
  <c r="F175" i="49"/>
  <c r="F176" i="49" s="1"/>
  <c r="E175" i="49"/>
  <c r="E176" i="49" s="1"/>
  <c r="D175" i="49"/>
  <c r="D176" i="49" s="1"/>
  <c r="T173" i="49"/>
  <c r="T174" i="49" s="1"/>
  <c r="S173" i="49"/>
  <c r="S174" i="49" s="1"/>
  <c r="R173" i="49"/>
  <c r="R174" i="49" s="1"/>
  <c r="Q173" i="49"/>
  <c r="Q174" i="49" s="1"/>
  <c r="P173" i="49"/>
  <c r="P174" i="49" s="1"/>
  <c r="O173" i="49"/>
  <c r="O174" i="49" s="1"/>
  <c r="N173" i="49"/>
  <c r="N174" i="49" s="1"/>
  <c r="M173" i="49"/>
  <c r="M174" i="49" s="1"/>
  <c r="L173" i="49"/>
  <c r="L174" i="49" s="1"/>
  <c r="K173" i="49"/>
  <c r="K174" i="49" s="1"/>
  <c r="I173" i="49"/>
  <c r="I174" i="49" s="1"/>
  <c r="H173" i="49"/>
  <c r="H174" i="49" s="1"/>
  <c r="G173" i="49"/>
  <c r="G174" i="49" s="1"/>
  <c r="F173" i="49"/>
  <c r="F174" i="49" s="1"/>
  <c r="E173" i="49"/>
  <c r="E174" i="49" s="1"/>
  <c r="D173" i="49"/>
  <c r="D174" i="49" s="1"/>
  <c r="T171" i="49"/>
  <c r="T172" i="49" s="1"/>
  <c r="S171" i="49"/>
  <c r="S172" i="49" s="1"/>
  <c r="R171" i="49"/>
  <c r="R172" i="49" s="1"/>
  <c r="Q171" i="49"/>
  <c r="Q172" i="49" s="1"/>
  <c r="P171" i="49"/>
  <c r="P172" i="49" s="1"/>
  <c r="O171" i="49"/>
  <c r="O172" i="49" s="1"/>
  <c r="N171" i="49"/>
  <c r="N172" i="49" s="1"/>
  <c r="M171" i="49"/>
  <c r="M172" i="49" s="1"/>
  <c r="L171" i="49"/>
  <c r="L172" i="49" s="1"/>
  <c r="K171" i="49"/>
  <c r="K172" i="49" s="1"/>
  <c r="I171" i="49"/>
  <c r="I172" i="49" s="1"/>
  <c r="H171" i="49"/>
  <c r="H172" i="49" s="1"/>
  <c r="G171" i="49"/>
  <c r="G172" i="49" s="1"/>
  <c r="F171" i="49"/>
  <c r="F172" i="49" s="1"/>
  <c r="E171" i="49"/>
  <c r="E172" i="49" s="1"/>
  <c r="D171" i="49"/>
  <c r="D172" i="49" s="1"/>
  <c r="D170" i="49"/>
  <c r="T169" i="49"/>
  <c r="T170" i="49" s="1"/>
  <c r="S169" i="49"/>
  <c r="S170" i="49" s="1"/>
  <c r="R169" i="49"/>
  <c r="R170" i="49" s="1"/>
  <c r="Q169" i="49"/>
  <c r="Q170" i="49" s="1"/>
  <c r="P169" i="49"/>
  <c r="P170" i="49" s="1"/>
  <c r="O169" i="49"/>
  <c r="O170" i="49" s="1"/>
  <c r="N169" i="49"/>
  <c r="N170" i="49" s="1"/>
  <c r="M169" i="49"/>
  <c r="M170" i="49" s="1"/>
  <c r="L169" i="49"/>
  <c r="L170" i="49" s="1"/>
  <c r="K169" i="49"/>
  <c r="K170" i="49" s="1"/>
  <c r="I169" i="49"/>
  <c r="I170" i="49" s="1"/>
  <c r="H169" i="49"/>
  <c r="H170" i="49" s="1"/>
  <c r="G169" i="49"/>
  <c r="G170" i="49" s="1"/>
  <c r="F169" i="49"/>
  <c r="F170" i="49" s="1"/>
  <c r="E169" i="49"/>
  <c r="E170" i="49" s="1"/>
  <c r="T167" i="49"/>
  <c r="T168" i="49" s="1"/>
  <c r="S167" i="49"/>
  <c r="S168" i="49" s="1"/>
  <c r="R167" i="49"/>
  <c r="R168" i="49" s="1"/>
  <c r="Q167" i="49"/>
  <c r="Q168" i="49" s="1"/>
  <c r="P167" i="49"/>
  <c r="P168" i="49" s="1"/>
  <c r="O167" i="49"/>
  <c r="O168" i="49" s="1"/>
  <c r="N167" i="49"/>
  <c r="N168" i="49" s="1"/>
  <c r="M167" i="49"/>
  <c r="M168" i="49" s="1"/>
  <c r="L167" i="49"/>
  <c r="L168" i="49" s="1"/>
  <c r="K167" i="49"/>
  <c r="K168" i="49" s="1"/>
  <c r="I167" i="49"/>
  <c r="I168" i="49" s="1"/>
  <c r="H167" i="49"/>
  <c r="H168" i="49" s="1"/>
  <c r="G167" i="49"/>
  <c r="G168" i="49" s="1"/>
  <c r="F167" i="49"/>
  <c r="F168" i="49" s="1"/>
  <c r="E167" i="49"/>
  <c r="E168" i="49" s="1"/>
  <c r="T165" i="49"/>
  <c r="T166" i="49" s="1"/>
  <c r="S165" i="49"/>
  <c r="S166" i="49" s="1"/>
  <c r="R165" i="49"/>
  <c r="R166" i="49" s="1"/>
  <c r="Q165" i="49"/>
  <c r="Q166" i="49" s="1"/>
  <c r="P165" i="49"/>
  <c r="P166" i="49" s="1"/>
  <c r="O165" i="49"/>
  <c r="O166" i="49" s="1"/>
  <c r="N165" i="49"/>
  <c r="N166" i="49" s="1"/>
  <c r="M165" i="49"/>
  <c r="M166" i="49" s="1"/>
  <c r="L165" i="49"/>
  <c r="L166" i="49" s="1"/>
  <c r="K165" i="49"/>
  <c r="K166" i="49" s="1"/>
  <c r="I165" i="49"/>
  <c r="I166" i="49" s="1"/>
  <c r="H165" i="49"/>
  <c r="H166" i="49" s="1"/>
  <c r="G165" i="49"/>
  <c r="G166" i="49" s="1"/>
  <c r="F165" i="49"/>
  <c r="F166" i="49" s="1"/>
  <c r="E165" i="49"/>
  <c r="E166" i="49" s="1"/>
  <c r="D165" i="49"/>
  <c r="D166" i="49" s="1"/>
  <c r="K164" i="49"/>
  <c r="T163" i="49"/>
  <c r="T164" i="49" s="1"/>
  <c r="S163" i="49"/>
  <c r="S164" i="49" s="1"/>
  <c r="R163" i="49"/>
  <c r="R164" i="49" s="1"/>
  <c r="Q163" i="49"/>
  <c r="Q164" i="49" s="1"/>
  <c r="P163" i="49"/>
  <c r="P164" i="49" s="1"/>
  <c r="O163" i="49"/>
  <c r="O164" i="49" s="1"/>
  <c r="N163" i="49"/>
  <c r="N164" i="49" s="1"/>
  <c r="M163" i="49"/>
  <c r="M164" i="49" s="1"/>
  <c r="L163" i="49"/>
  <c r="L164" i="49" s="1"/>
  <c r="K163" i="49"/>
  <c r="I163" i="49"/>
  <c r="I164" i="49" s="1"/>
  <c r="H163" i="49"/>
  <c r="H164" i="49" s="1"/>
  <c r="G163" i="49"/>
  <c r="G164" i="49" s="1"/>
  <c r="F163" i="49"/>
  <c r="F164" i="49" s="1"/>
  <c r="E163" i="49"/>
  <c r="E164" i="49" s="1"/>
  <c r="D163" i="49"/>
  <c r="D164" i="49" s="1"/>
  <c r="T161" i="49"/>
  <c r="T162" i="49" s="1"/>
  <c r="S161" i="49"/>
  <c r="S162" i="49" s="1"/>
  <c r="R161" i="49"/>
  <c r="R162" i="49" s="1"/>
  <c r="Q161" i="49"/>
  <c r="Q162" i="49" s="1"/>
  <c r="P161" i="49"/>
  <c r="P162" i="49" s="1"/>
  <c r="O161" i="49"/>
  <c r="O162" i="49" s="1"/>
  <c r="N161" i="49"/>
  <c r="N162" i="49" s="1"/>
  <c r="M161" i="49"/>
  <c r="M162" i="49" s="1"/>
  <c r="L161" i="49"/>
  <c r="L162" i="49" s="1"/>
  <c r="K161" i="49"/>
  <c r="K162" i="49" s="1"/>
  <c r="I161" i="49"/>
  <c r="I162" i="49" s="1"/>
  <c r="H161" i="49"/>
  <c r="H162" i="49" s="1"/>
  <c r="G161" i="49"/>
  <c r="G162" i="49" s="1"/>
  <c r="F161" i="49"/>
  <c r="F162" i="49" s="1"/>
  <c r="E161" i="49"/>
  <c r="E162" i="49" s="1"/>
  <c r="D161" i="49"/>
  <c r="D162" i="49" s="1"/>
  <c r="T159" i="49"/>
  <c r="T160" i="49" s="1"/>
  <c r="S159" i="49"/>
  <c r="S160" i="49" s="1"/>
  <c r="R159" i="49"/>
  <c r="R160" i="49" s="1"/>
  <c r="Q159" i="49"/>
  <c r="Q160" i="49" s="1"/>
  <c r="P159" i="49"/>
  <c r="P160" i="49" s="1"/>
  <c r="O159" i="49"/>
  <c r="O160" i="49" s="1"/>
  <c r="N159" i="49"/>
  <c r="N160" i="49" s="1"/>
  <c r="M159" i="49"/>
  <c r="M160" i="49" s="1"/>
  <c r="L159" i="49"/>
  <c r="L160" i="49" s="1"/>
  <c r="K159" i="49"/>
  <c r="K160" i="49" s="1"/>
  <c r="I159" i="49"/>
  <c r="I160" i="49" s="1"/>
  <c r="H159" i="49"/>
  <c r="H160" i="49" s="1"/>
  <c r="G159" i="49"/>
  <c r="G160" i="49" s="1"/>
  <c r="F159" i="49"/>
  <c r="F160" i="49" s="1"/>
  <c r="E159" i="49"/>
  <c r="E160" i="49" s="1"/>
  <c r="D159" i="49"/>
  <c r="D160" i="49" s="1"/>
  <c r="T157" i="49"/>
  <c r="T158" i="49" s="1"/>
  <c r="S157" i="49"/>
  <c r="S158" i="49" s="1"/>
  <c r="R157" i="49"/>
  <c r="R158" i="49" s="1"/>
  <c r="Q157" i="49"/>
  <c r="Q158" i="49" s="1"/>
  <c r="P157" i="49"/>
  <c r="P158" i="49" s="1"/>
  <c r="O157" i="49"/>
  <c r="O158" i="49" s="1"/>
  <c r="N157" i="49"/>
  <c r="N158" i="49" s="1"/>
  <c r="M157" i="49"/>
  <c r="M158" i="49" s="1"/>
  <c r="L157" i="49"/>
  <c r="L158" i="49" s="1"/>
  <c r="K157" i="49"/>
  <c r="K158" i="49" s="1"/>
  <c r="I157" i="49"/>
  <c r="I158" i="49" s="1"/>
  <c r="H157" i="49"/>
  <c r="H158" i="49" s="1"/>
  <c r="G157" i="49"/>
  <c r="G158" i="49" s="1"/>
  <c r="F157" i="49"/>
  <c r="F158" i="49" s="1"/>
  <c r="E157" i="49"/>
  <c r="E158" i="49" s="1"/>
  <c r="D157" i="49"/>
  <c r="D158" i="49" s="1"/>
  <c r="T155" i="49"/>
  <c r="T156" i="49" s="1"/>
  <c r="S155" i="49"/>
  <c r="S156" i="49" s="1"/>
  <c r="R155" i="49"/>
  <c r="R156" i="49" s="1"/>
  <c r="Q155" i="49"/>
  <c r="Q156" i="49" s="1"/>
  <c r="P155" i="49"/>
  <c r="P156" i="49" s="1"/>
  <c r="O155" i="49"/>
  <c r="O156" i="49" s="1"/>
  <c r="N155" i="49"/>
  <c r="N156" i="49" s="1"/>
  <c r="M155" i="49"/>
  <c r="M156" i="49" s="1"/>
  <c r="L155" i="49"/>
  <c r="L156" i="49" s="1"/>
  <c r="K155" i="49"/>
  <c r="K156" i="49" s="1"/>
  <c r="I155" i="49"/>
  <c r="I156" i="49" s="1"/>
  <c r="H155" i="49"/>
  <c r="H156" i="49" s="1"/>
  <c r="G155" i="49"/>
  <c r="G156" i="49" s="1"/>
  <c r="F155" i="49"/>
  <c r="F156" i="49" s="1"/>
  <c r="E155" i="49"/>
  <c r="E156" i="49" s="1"/>
  <c r="D155" i="49"/>
  <c r="D156" i="49" s="1"/>
  <c r="T153" i="49"/>
  <c r="S153" i="49"/>
  <c r="R153" i="49"/>
  <c r="Q153" i="49"/>
  <c r="P153" i="49"/>
  <c r="P154" i="49" s="1"/>
  <c r="O153" i="49"/>
  <c r="N153" i="49"/>
  <c r="M153" i="49"/>
  <c r="L153" i="49"/>
  <c r="K153" i="49"/>
  <c r="I153" i="49"/>
  <c r="H153" i="49"/>
  <c r="H154" i="49" s="1"/>
  <c r="G153" i="49"/>
  <c r="G154" i="49" s="1"/>
  <c r="F153" i="49"/>
  <c r="F154" i="49" s="1"/>
  <c r="E153" i="49"/>
  <c r="E154" i="49" s="1"/>
  <c r="D153" i="49"/>
  <c r="D154" i="49" s="1"/>
  <c r="R151" i="49"/>
  <c r="R152" i="49" s="1"/>
  <c r="Q151" i="49"/>
  <c r="Q152" i="49" s="1"/>
  <c r="P151" i="49"/>
  <c r="P152" i="49" s="1"/>
  <c r="N151" i="49"/>
  <c r="M151" i="49"/>
  <c r="L151" i="49"/>
  <c r="L152" i="49" s="1"/>
  <c r="K151" i="49"/>
  <c r="K152" i="49" s="1"/>
  <c r="I151" i="49"/>
  <c r="I152" i="49" s="1"/>
  <c r="G151" i="49"/>
  <c r="G152" i="49" s="1"/>
  <c r="F151" i="49"/>
  <c r="F152" i="49" s="1"/>
  <c r="E151" i="49"/>
  <c r="E152" i="49" s="1"/>
  <c r="D151" i="49"/>
  <c r="D152" i="49" s="1"/>
  <c r="T148" i="49"/>
  <c r="T236" i="49" s="1"/>
  <c r="S148" i="49"/>
  <c r="S236" i="49" s="1"/>
  <c r="R148" i="49"/>
  <c r="R236" i="49" s="1"/>
  <c r="Q148" i="49"/>
  <c r="Q236" i="49" s="1"/>
  <c r="P148" i="49"/>
  <c r="O148" i="49"/>
  <c r="O237" i="49" s="1"/>
  <c r="O276" i="49" s="1"/>
  <c r="N148" i="49"/>
  <c r="M148" i="49"/>
  <c r="M237" i="49" s="1"/>
  <c r="M276" i="49" s="1"/>
  <c r="L148" i="49"/>
  <c r="K148" i="49"/>
  <c r="K231" i="49" s="1"/>
  <c r="K232" i="49" s="1"/>
  <c r="I148" i="49"/>
  <c r="I231" i="49" s="1"/>
  <c r="I232" i="49" s="1"/>
  <c r="H148" i="49"/>
  <c r="H276" i="49" s="1"/>
  <c r="G148" i="49"/>
  <c r="W294" i="47" s="1" a="1"/>
  <c r="W294" i="47" s="1"/>
  <c r="X294" i="47" s="1"/>
  <c r="F148" i="49"/>
  <c r="Y147" i="49"/>
  <c r="Y148" i="49" s="1"/>
  <c r="V147" i="49"/>
  <c r="V148" i="49" s="1"/>
  <c r="U146" i="49"/>
  <c r="U145" i="49"/>
  <c r="U137" i="49"/>
  <c r="U136" i="49"/>
  <c r="U135" i="49"/>
  <c r="U134" i="49"/>
  <c r="U133" i="49"/>
  <c r="U132" i="49"/>
  <c r="U131" i="49"/>
  <c r="U130" i="49"/>
  <c r="U129" i="49"/>
  <c r="U128" i="49"/>
  <c r="U127" i="49"/>
  <c r="U126" i="49"/>
  <c r="U125" i="49"/>
  <c r="U124" i="49"/>
  <c r="U123" i="49"/>
  <c r="U121" i="49"/>
  <c r="U120" i="49"/>
  <c r="U119" i="49"/>
  <c r="U118" i="49"/>
  <c r="U117" i="49"/>
  <c r="U116" i="49"/>
  <c r="U115" i="49"/>
  <c r="U114" i="49"/>
  <c r="U113" i="49"/>
  <c r="U112" i="49"/>
  <c r="U111" i="49"/>
  <c r="U110" i="49"/>
  <c r="U109" i="49"/>
  <c r="U108" i="49"/>
  <c r="U107" i="49"/>
  <c r="U104" i="49"/>
  <c r="T100" i="49"/>
  <c r="S100" i="49"/>
  <c r="R100" i="49"/>
  <c r="Q100" i="49"/>
  <c r="Q149" i="49" s="1"/>
  <c r="Q150" i="49" s="1"/>
  <c r="P100" i="49"/>
  <c r="O100" i="49"/>
  <c r="N100" i="49"/>
  <c r="M100" i="49"/>
  <c r="I96" i="49"/>
  <c r="D96" i="49"/>
  <c r="P94" i="49"/>
  <c r="L94" i="49"/>
  <c r="I94" i="49"/>
  <c r="G94" i="49"/>
  <c r="F94" i="49"/>
  <c r="E94" i="49"/>
  <c r="D94" i="49"/>
  <c r="Q92" i="49"/>
  <c r="U92" i="49" s="1"/>
  <c r="Q86" i="49"/>
  <c r="O86" i="49"/>
  <c r="I86" i="49"/>
  <c r="I84" i="49"/>
  <c r="U84" i="49" s="1"/>
  <c r="I82" i="49"/>
  <c r="U82" i="49" s="1"/>
  <c r="Q80" i="49"/>
  <c r="P80" i="49"/>
  <c r="O80" i="49"/>
  <c r="N80" i="49"/>
  <c r="L80" i="49"/>
  <c r="K80" i="49"/>
  <c r="J80" i="49"/>
  <c r="I80" i="49"/>
  <c r="G80" i="49"/>
  <c r="E80" i="49"/>
  <c r="D80" i="49"/>
  <c r="Q76" i="49"/>
  <c r="P76" i="49"/>
  <c r="O76" i="49"/>
  <c r="L76" i="49"/>
  <c r="I76" i="49"/>
  <c r="I74" i="49"/>
  <c r="F74" i="49"/>
  <c r="E74" i="49"/>
  <c r="D74" i="49"/>
  <c r="P72" i="49"/>
  <c r="O72" i="49"/>
  <c r="I72" i="49"/>
  <c r="P70" i="49"/>
  <c r="O70" i="49"/>
  <c r="I70" i="49"/>
  <c r="H70" i="49"/>
  <c r="G70" i="49"/>
  <c r="F70" i="49"/>
  <c r="E70" i="49"/>
  <c r="D70" i="49"/>
  <c r="P68" i="49"/>
  <c r="L68" i="49"/>
  <c r="K68" i="49"/>
  <c r="J68" i="49"/>
  <c r="I68" i="49"/>
  <c r="G68" i="49"/>
  <c r="F68" i="49"/>
  <c r="E68" i="49"/>
  <c r="D68" i="49"/>
  <c r="T64" i="49"/>
  <c r="S64" i="49"/>
  <c r="R64" i="49"/>
  <c r="Q64" i="49"/>
  <c r="P64" i="49"/>
  <c r="O64" i="49"/>
  <c r="L64" i="49"/>
  <c r="G64" i="49"/>
  <c r="F64" i="49"/>
  <c r="E64" i="49"/>
  <c r="D64" i="49"/>
  <c r="T60" i="49"/>
  <c r="S60" i="49"/>
  <c r="R60" i="49"/>
  <c r="Q60" i="49"/>
  <c r="P60" i="49"/>
  <c r="O60" i="49"/>
  <c r="I60" i="49"/>
  <c r="G60" i="49"/>
  <c r="F60" i="49"/>
  <c r="E60" i="49"/>
  <c r="D60" i="49"/>
  <c r="U60" i="49" s="1"/>
  <c r="T58" i="49"/>
  <c r="S58" i="49"/>
  <c r="R58" i="49"/>
  <c r="Q58" i="49"/>
  <c r="P58" i="49"/>
  <c r="O58" i="49"/>
  <c r="L58" i="49"/>
  <c r="J58" i="49"/>
  <c r="I58" i="49"/>
  <c r="F58" i="49"/>
  <c r="E58" i="49"/>
  <c r="D58" i="49"/>
  <c r="T55" i="49"/>
  <c r="T197" i="49" s="1"/>
  <c r="T198" i="49" s="1"/>
  <c r="S55" i="49"/>
  <c r="S197" i="49" s="1"/>
  <c r="S198" i="49" s="1"/>
  <c r="R55" i="49"/>
  <c r="R197" i="49" s="1"/>
  <c r="R198" i="49" s="1"/>
  <c r="Q55" i="49"/>
  <c r="Q197" i="49" s="1"/>
  <c r="Q198" i="49" s="1"/>
  <c r="P55" i="49"/>
  <c r="P197" i="49" s="1"/>
  <c r="P198" i="49" s="1"/>
  <c r="O55" i="49"/>
  <c r="O197" i="49" s="1"/>
  <c r="O198" i="49" s="1"/>
  <c r="L55" i="49"/>
  <c r="L100" i="49" s="1"/>
  <c r="K55" i="49"/>
  <c r="K100" i="49" s="1"/>
  <c r="I55" i="49"/>
  <c r="I100" i="49" s="1"/>
  <c r="G55" i="49"/>
  <c r="F55" i="49"/>
  <c r="E55" i="49"/>
  <c r="D197" i="49"/>
  <c r="D198" i="49" s="1"/>
  <c r="F52" i="49"/>
  <c r="U52" i="49" s="1"/>
  <c r="P50" i="49"/>
  <c r="O50" i="49"/>
  <c r="N50" i="49"/>
  <c r="M50" i="49"/>
  <c r="L50" i="49"/>
  <c r="K50" i="49"/>
  <c r="U50" i="49" s="1"/>
  <c r="P48" i="49"/>
  <c r="O48" i="49"/>
  <c r="N48" i="49"/>
  <c r="M48" i="49"/>
  <c r="L48" i="49"/>
  <c r="K48" i="49"/>
  <c r="T46" i="49"/>
  <c r="S46" i="49"/>
  <c r="R46" i="49"/>
  <c r="Q46" i="49"/>
  <c r="P46" i="49"/>
  <c r="O46" i="49"/>
  <c r="N46" i="49"/>
  <c r="M46" i="49"/>
  <c r="L46" i="49"/>
  <c r="K46" i="49"/>
  <c r="I46" i="49"/>
  <c r="G46" i="49"/>
  <c r="E46" i="49"/>
  <c r="D46" i="49"/>
  <c r="T44" i="49"/>
  <c r="S44" i="49"/>
  <c r="R44" i="49"/>
  <c r="Q44" i="49"/>
  <c r="P44" i="49"/>
  <c r="O44" i="49"/>
  <c r="L44" i="49"/>
  <c r="K44" i="49"/>
  <c r="I44" i="49"/>
  <c r="H44" i="49"/>
  <c r="G44" i="49"/>
  <c r="F44" i="49"/>
  <c r="E44" i="49"/>
  <c r="D44" i="49"/>
  <c r="T42" i="49"/>
  <c r="S42" i="49"/>
  <c r="R42" i="49"/>
  <c r="Q42" i="49"/>
  <c r="P42" i="49"/>
  <c r="L42" i="49"/>
  <c r="K42" i="49"/>
  <c r="I42" i="49"/>
  <c r="G42" i="49"/>
  <c r="F42" i="49"/>
  <c r="E42" i="49"/>
  <c r="T40" i="49"/>
  <c r="S40" i="49"/>
  <c r="R40" i="49"/>
  <c r="Q40" i="49"/>
  <c r="P40" i="49"/>
  <c r="O40" i="49"/>
  <c r="L40" i="49"/>
  <c r="K40" i="49"/>
  <c r="I40" i="49"/>
  <c r="G40" i="49"/>
  <c r="F40" i="49"/>
  <c r="E40" i="49"/>
  <c r="D40" i="49"/>
  <c r="S38" i="49"/>
  <c r="R38" i="49"/>
  <c r="P38" i="49"/>
  <c r="L38" i="49"/>
  <c r="K38" i="49"/>
  <c r="I38" i="49"/>
  <c r="E38" i="49"/>
  <c r="T36" i="49"/>
  <c r="S36" i="49"/>
  <c r="R36" i="49"/>
  <c r="Q36" i="49"/>
  <c r="P36" i="49"/>
  <c r="L36" i="49"/>
  <c r="K36" i="49"/>
  <c r="I36" i="49"/>
  <c r="G36" i="49"/>
  <c r="F36" i="49"/>
  <c r="E36" i="49"/>
  <c r="D36" i="49"/>
  <c r="P34" i="49"/>
  <c r="F34" i="49"/>
  <c r="E34" i="49"/>
  <c r="D34" i="49"/>
  <c r="T30" i="49"/>
  <c r="S30" i="49"/>
  <c r="R30" i="49"/>
  <c r="Q30" i="49"/>
  <c r="P30" i="49"/>
  <c r="L30" i="49"/>
  <c r="K30" i="49"/>
  <c r="I30" i="49"/>
  <c r="F30" i="49"/>
  <c r="E30" i="49"/>
  <c r="D30" i="49"/>
  <c r="T28" i="49"/>
  <c r="S28" i="49"/>
  <c r="R28" i="49"/>
  <c r="Q28" i="49"/>
  <c r="P28" i="49"/>
  <c r="L28" i="49"/>
  <c r="K28" i="49"/>
  <c r="E28" i="49"/>
  <c r="T26" i="49"/>
  <c r="S26" i="49"/>
  <c r="R26" i="49"/>
  <c r="Q26" i="49"/>
  <c r="P26" i="49"/>
  <c r="L26" i="49"/>
  <c r="K26" i="49"/>
  <c r="I26" i="49"/>
  <c r="G26" i="49"/>
  <c r="F26" i="49"/>
  <c r="E26" i="49"/>
  <c r="D26" i="49"/>
  <c r="T24" i="49"/>
  <c r="S24" i="49"/>
  <c r="R24" i="49"/>
  <c r="Q24" i="49"/>
  <c r="P24" i="49"/>
  <c r="L24" i="49"/>
  <c r="K24" i="49"/>
  <c r="I24" i="49"/>
  <c r="E24" i="49"/>
  <c r="R22" i="49"/>
  <c r="P22" i="49"/>
  <c r="L22" i="49"/>
  <c r="K22" i="49"/>
  <c r="I22" i="49"/>
  <c r="E22" i="49"/>
  <c r="S20" i="49"/>
  <c r="R20" i="49"/>
  <c r="Q20" i="49"/>
  <c r="P20" i="49"/>
  <c r="O20" i="49"/>
  <c r="L20" i="49"/>
  <c r="K20" i="49"/>
  <c r="I20" i="49"/>
  <c r="G20" i="49"/>
  <c r="F20" i="49"/>
  <c r="E20" i="49"/>
  <c r="D20" i="49"/>
  <c r="S18" i="49"/>
  <c r="R18" i="49"/>
  <c r="P18" i="49"/>
  <c r="O18" i="49"/>
  <c r="L18" i="49"/>
  <c r="I18" i="49"/>
  <c r="G18" i="49"/>
  <c r="F18" i="49"/>
  <c r="E18" i="49"/>
  <c r="D18" i="49"/>
  <c r="R16" i="49"/>
  <c r="P16" i="49"/>
  <c r="L16" i="49"/>
  <c r="F16" i="49"/>
  <c r="E16" i="49"/>
  <c r="D16" i="49"/>
  <c r="T14" i="49"/>
  <c r="S14" i="49"/>
  <c r="R14" i="49"/>
  <c r="Q14" i="49"/>
  <c r="P14" i="49"/>
  <c r="O14" i="49"/>
  <c r="L14" i="49"/>
  <c r="K14" i="49"/>
  <c r="I14" i="49"/>
  <c r="H14" i="49"/>
  <c r="G14" i="49"/>
  <c r="F14" i="49"/>
  <c r="E14" i="49"/>
  <c r="D14" i="49"/>
  <c r="S12" i="49"/>
  <c r="R12" i="49"/>
  <c r="Q12" i="49"/>
  <c r="P12" i="49"/>
  <c r="O12" i="49"/>
  <c r="L12" i="49"/>
  <c r="K12" i="49"/>
  <c r="I12" i="49"/>
  <c r="G12" i="49"/>
  <c r="F12" i="49"/>
  <c r="E12" i="49"/>
  <c r="D12" i="49"/>
  <c r="S10" i="49"/>
  <c r="R10" i="49"/>
  <c r="Q10" i="49"/>
  <c r="P10" i="49"/>
  <c r="O10" i="49"/>
  <c r="L10" i="49"/>
  <c r="K10" i="49"/>
  <c r="I10" i="49"/>
  <c r="G10" i="49"/>
  <c r="F10" i="49"/>
  <c r="E10" i="49"/>
  <c r="D10" i="49"/>
  <c r="S8" i="49"/>
  <c r="R8" i="49"/>
  <c r="Q8" i="49"/>
  <c r="P8" i="49"/>
  <c r="O8" i="49"/>
  <c r="N8" i="49"/>
  <c r="M8" i="49"/>
  <c r="L8" i="49"/>
  <c r="K8" i="49"/>
  <c r="I8" i="49"/>
  <c r="G8" i="49"/>
  <c r="F8" i="49"/>
  <c r="E8" i="49"/>
  <c r="D8" i="49"/>
  <c r="S6" i="49"/>
  <c r="R6" i="49"/>
  <c r="P6" i="49"/>
  <c r="O6" i="49"/>
  <c r="L6" i="49"/>
  <c r="K6" i="49"/>
  <c r="I6" i="49"/>
  <c r="H6" i="49"/>
  <c r="G6" i="49"/>
  <c r="F6" i="49"/>
  <c r="E6" i="49"/>
  <c r="D6" i="49"/>
  <c r="S4" i="49"/>
  <c r="R4" i="49"/>
  <c r="P4" i="49"/>
  <c r="L4" i="49"/>
  <c r="K4" i="49"/>
  <c r="I4" i="49"/>
  <c r="H4" i="49"/>
  <c r="G4" i="49"/>
  <c r="F4" i="49"/>
  <c r="E4" i="49"/>
  <c r="D4" i="49"/>
  <c r="G242" i="37"/>
  <c r="U96" i="49" l="1"/>
  <c r="U44" i="49"/>
  <c r="U10" i="49"/>
  <c r="U34" i="49"/>
  <c r="U38" i="49"/>
  <c r="U70" i="49"/>
  <c r="U72" i="49"/>
  <c r="U26" i="49"/>
  <c r="U76" i="49"/>
  <c r="U86" i="49"/>
  <c r="U80" i="49"/>
  <c r="U94" i="49"/>
  <c r="K149" i="49"/>
  <c r="K150" i="49" s="1"/>
  <c r="U22" i="49"/>
  <c r="W8" i="49"/>
  <c r="U6" i="49"/>
  <c r="U16" i="49"/>
  <c r="U20" i="49"/>
  <c r="U30" i="49"/>
  <c r="U40" i="49"/>
  <c r="U68" i="49"/>
  <c r="E197" i="49"/>
  <c r="E198" i="49" s="1"/>
  <c r="U55" i="49"/>
  <c r="E100" i="49"/>
  <c r="E149" i="49" s="1"/>
  <c r="E150" i="49" s="1"/>
  <c r="U36" i="49"/>
  <c r="U8" i="49"/>
  <c r="U24" i="49"/>
  <c r="F197" i="49"/>
  <c r="F198" i="49" s="1"/>
  <c r="F100" i="49"/>
  <c r="U42" i="49"/>
  <c r="U58" i="49"/>
  <c r="U14" i="49"/>
  <c r="U4" i="49"/>
  <c r="U48" i="49"/>
  <c r="G197" i="49"/>
  <c r="G198" i="49" s="1"/>
  <c r="G100" i="49"/>
  <c r="U74" i="49"/>
  <c r="U12" i="49"/>
  <c r="U64" i="49"/>
  <c r="U28" i="49"/>
  <c r="U46" i="49"/>
  <c r="U18" i="49"/>
  <c r="G237" i="49"/>
  <c r="G276" i="49" s="1"/>
  <c r="U148" i="49"/>
  <c r="H149" i="49"/>
  <c r="H150" i="49" s="1"/>
  <c r="Y100" i="49"/>
  <c r="S149" i="49"/>
  <c r="S150" i="49" s="1"/>
  <c r="S233" i="49"/>
  <c r="O149" i="49"/>
  <c r="O150" i="49" s="1"/>
  <c r="U167" i="49"/>
  <c r="U168" i="49" s="1"/>
  <c r="U182" i="49"/>
  <c r="U155" i="49"/>
  <c r="U156" i="49" s="1"/>
  <c r="N149" i="49"/>
  <c r="N150" i="49" s="1"/>
  <c r="U169" i="49"/>
  <c r="U170" i="49" s="1"/>
  <c r="P149" i="49"/>
  <c r="P150" i="49" s="1"/>
  <c r="M233" i="49"/>
  <c r="M234" i="49" s="1"/>
  <c r="N233" i="49"/>
  <c r="N234" i="49" s="1"/>
  <c r="K197" i="49"/>
  <c r="K198" i="49" s="1"/>
  <c r="P233" i="49"/>
  <c r="P235" i="49" s="1"/>
  <c r="P236" i="49" s="1"/>
  <c r="M149" i="49"/>
  <c r="M150" i="49" s="1"/>
  <c r="Q233" i="49"/>
  <c r="Q234" i="49" s="1"/>
  <c r="V100" i="49"/>
  <c r="R233" i="49"/>
  <c r="R234" i="49" s="1"/>
  <c r="T233" i="49"/>
  <c r="D233" i="49"/>
  <c r="G233" i="49"/>
  <c r="U173" i="49"/>
  <c r="U174" i="49" s="1"/>
  <c r="L149" i="49"/>
  <c r="L150" i="49" s="1"/>
  <c r="O233" i="49"/>
  <c r="O154" i="49"/>
  <c r="I197" i="49"/>
  <c r="I198" i="49" s="1"/>
  <c r="U227" i="49"/>
  <c r="U228" i="49" s="1"/>
  <c r="I237" i="49"/>
  <c r="I276" i="49" s="1"/>
  <c r="D149" i="49"/>
  <c r="D150" i="49" s="1"/>
  <c r="Z148" i="49"/>
  <c r="I149" i="49"/>
  <c r="Q154" i="49"/>
  <c r="U163" i="49"/>
  <c r="U164" i="49" s="1"/>
  <c r="L197" i="49"/>
  <c r="L198" i="49" s="1"/>
  <c r="K237" i="49"/>
  <c r="K276" i="49" s="1"/>
  <c r="U183" i="49"/>
  <c r="U184" i="49" s="1"/>
  <c r="R154" i="49"/>
  <c r="U189" i="49"/>
  <c r="U190" i="49" s="1"/>
  <c r="L237" i="49"/>
  <c r="L276" i="49" s="1"/>
  <c r="S154" i="49"/>
  <c r="U203" i="49"/>
  <c r="U204" i="49" s="1"/>
  <c r="T154" i="49"/>
  <c r="U175" i="49"/>
  <c r="U176" i="49" s="1"/>
  <c r="N237" i="49"/>
  <c r="N276" i="49" s="1"/>
  <c r="U165" i="49"/>
  <c r="U166" i="49" s="1"/>
  <c r="U185" i="49"/>
  <c r="U186" i="49" s="1"/>
  <c r="U191" i="49"/>
  <c r="U192" i="49" s="1"/>
  <c r="P237" i="49"/>
  <c r="P276" i="49" s="1"/>
  <c r="U159" i="49"/>
  <c r="U160" i="49" s="1"/>
  <c r="Q237" i="49"/>
  <c r="Q276" i="49" s="1"/>
  <c r="U193" i="49"/>
  <c r="U194" i="49" s="1"/>
  <c r="R237" i="49"/>
  <c r="R276" i="49" s="1"/>
  <c r="R149" i="49"/>
  <c r="R150" i="49" s="1"/>
  <c r="D237" i="49"/>
  <c r="D276" i="49" s="1"/>
  <c r="S237" i="49"/>
  <c r="S276" i="49" s="1"/>
  <c r="I154" i="49"/>
  <c r="U177" i="49"/>
  <c r="U178" i="49" s="1"/>
  <c r="U179" i="49"/>
  <c r="U180" i="49" s="1"/>
  <c r="T237" i="49"/>
  <c r="T276" i="49" s="1"/>
  <c r="U201" i="49"/>
  <c r="U202" i="49" s="1"/>
  <c r="T149" i="49"/>
  <c r="T150" i="49" s="1"/>
  <c r="U153" i="49"/>
  <c r="U154" i="49" s="1"/>
  <c r="K154" i="49"/>
  <c r="E237" i="49"/>
  <c r="E276" i="49" s="1"/>
  <c r="L154" i="49"/>
  <c r="U161" i="49"/>
  <c r="U162" i="49" s="1"/>
  <c r="U171" i="49"/>
  <c r="U172" i="49" s="1"/>
  <c r="U187" i="49"/>
  <c r="U188" i="49" s="1"/>
  <c r="U199" i="49"/>
  <c r="U200" i="49" s="1"/>
  <c r="F237" i="49"/>
  <c r="F276" i="49" s="1"/>
  <c r="M154" i="49"/>
  <c r="N154" i="49"/>
  <c r="N80" i="47"/>
  <c r="N46" i="47"/>
  <c r="I150" i="49" l="1"/>
  <c r="U149" i="49"/>
  <c r="U150" i="49" s="1"/>
  <c r="U100" i="49"/>
  <c r="X100" i="49" s="1"/>
  <c r="E233" i="49"/>
  <c r="F149" i="49"/>
  <c r="F150" i="49" s="1"/>
  <c r="F233" i="49"/>
  <c r="P234" i="49"/>
  <c r="G149" i="49"/>
  <c r="K233" i="49"/>
  <c r="K234" i="49" s="1"/>
  <c r="V233" i="49"/>
  <c r="W233" i="49" s="1"/>
  <c r="N235" i="49"/>
  <c r="N236" i="49" s="1"/>
  <c r="M235" i="49"/>
  <c r="M236" i="49" s="1"/>
  <c r="U197" i="49"/>
  <c r="U198" i="49" s="1"/>
  <c r="L233" i="49"/>
  <c r="L235" i="49" s="1"/>
  <c r="L236" i="49" s="1"/>
  <c r="K235" i="49"/>
  <c r="K236" i="49" s="1"/>
  <c r="I233" i="49"/>
  <c r="I234" i="49" s="1"/>
  <c r="D235" i="49"/>
  <c r="D236" i="49" s="1"/>
  <c r="D234" i="49"/>
  <c r="U157" i="49"/>
  <c r="U158" i="49" s="1"/>
  <c r="G235" i="49"/>
  <c r="G236" i="49" s="1"/>
  <c r="G234" i="49"/>
  <c r="U151" i="49"/>
  <c r="U152" i="49" s="1"/>
  <c r="O234" i="49"/>
  <c r="O235" i="49"/>
  <c r="O236" i="49" s="1"/>
  <c r="E235" i="49"/>
  <c r="E236" i="49" s="1"/>
  <c r="E234" i="49"/>
  <c r="F235" i="49"/>
  <c r="F236" i="49" s="1"/>
  <c r="F234" i="49"/>
  <c r="W147" i="49"/>
  <c r="N8" i="47"/>
  <c r="L234" i="49" l="1"/>
  <c r="G150" i="49"/>
  <c r="I235" i="49"/>
  <c r="I236" i="49" s="1"/>
  <c r="W148" i="49"/>
  <c r="U233" i="49"/>
  <c r="U234" i="49" s="1"/>
  <c r="V242" i="49"/>
  <c r="F13" i="39"/>
  <c r="U235" i="49" l="1"/>
  <c r="U236" i="49" s="1"/>
  <c r="K155" i="47" l="1"/>
  <c r="K156" i="47" s="1"/>
  <c r="K247" i="47" s="1"/>
  <c r="I256" i="47"/>
  <c r="F14" i="48"/>
  <c r="E7" i="48"/>
  <c r="E14" i="48" s="1"/>
  <c r="E25" i="48"/>
  <c r="K43" i="47" l="1"/>
  <c r="K106" i="47" s="1"/>
  <c r="I105" i="47" l="1"/>
  <c r="I106" i="47"/>
  <c r="J106" i="47"/>
  <c r="I100" i="47"/>
  <c r="I90" i="47"/>
  <c r="I86" i="47"/>
  <c r="I84" i="47"/>
  <c r="I82" i="47"/>
  <c r="I80" i="47"/>
  <c r="H80" i="47"/>
  <c r="I76" i="47"/>
  <c r="H74" i="47"/>
  <c r="I74" i="47"/>
  <c r="I70" i="47"/>
  <c r="I56" i="47"/>
  <c r="I54" i="47"/>
  <c r="I46" i="47"/>
  <c r="I44" i="47"/>
  <c r="I36" i="47"/>
  <c r="I34" i="47"/>
  <c r="I30" i="47"/>
  <c r="I26" i="47"/>
  <c r="H20" i="47"/>
  <c r="I20" i="47"/>
  <c r="I14" i="47"/>
  <c r="J14" i="47"/>
  <c r="K14" i="47"/>
  <c r="I161" i="47" l="1"/>
  <c r="J161" i="47"/>
  <c r="J162" i="47" s="1"/>
  <c r="I162" i="47"/>
  <c r="I163" i="47"/>
  <c r="J163" i="47"/>
  <c r="I167" i="47"/>
  <c r="I168" i="47" s="1"/>
  <c r="J167" i="47"/>
  <c r="J168" i="47" s="1"/>
  <c r="I169" i="47"/>
  <c r="J169" i="47"/>
  <c r="J170" i="47" s="1"/>
  <c r="I170" i="47"/>
  <c r="I171" i="47"/>
  <c r="I172" i="47" s="1"/>
  <c r="J171" i="47"/>
  <c r="J172" i="47" s="1"/>
  <c r="I173" i="47"/>
  <c r="I174" i="47" s="1"/>
  <c r="J173" i="47"/>
  <c r="J174" i="47" s="1"/>
  <c r="I175" i="47"/>
  <c r="I176" i="47" s="1"/>
  <c r="J175" i="47"/>
  <c r="J176" i="47" s="1"/>
  <c r="I177" i="47"/>
  <c r="I178" i="47" s="1"/>
  <c r="J177" i="47"/>
  <c r="J178" i="47" s="1"/>
  <c r="I179" i="47"/>
  <c r="J179" i="47"/>
  <c r="I181" i="47"/>
  <c r="I182" i="47" s="1"/>
  <c r="J181" i="47"/>
  <c r="J182" i="47" s="1"/>
  <c r="I183" i="47"/>
  <c r="I184" i="47" s="1"/>
  <c r="J183" i="47"/>
  <c r="J184" i="47" s="1"/>
  <c r="I185" i="47"/>
  <c r="I186" i="47" s="1"/>
  <c r="J185" i="47"/>
  <c r="J186" i="47" s="1"/>
  <c r="I187" i="47"/>
  <c r="I188" i="47" s="1"/>
  <c r="J187" i="47"/>
  <c r="J188" i="47" s="1"/>
  <c r="I191" i="47"/>
  <c r="I192" i="47" s="1"/>
  <c r="J191" i="47"/>
  <c r="J192" i="47" s="1"/>
  <c r="I193" i="47"/>
  <c r="I194" i="47" s="1"/>
  <c r="J193" i="47"/>
  <c r="J194" i="47" s="1"/>
  <c r="I195" i="47"/>
  <c r="I196" i="47" s="1"/>
  <c r="J195" i="47"/>
  <c r="J196" i="47" s="1"/>
  <c r="I197" i="47"/>
  <c r="I198" i="47" s="1"/>
  <c r="J197" i="47"/>
  <c r="J198" i="47" s="1"/>
  <c r="I199" i="47"/>
  <c r="I200" i="47" s="1"/>
  <c r="J199" i="47"/>
  <c r="J200" i="47" s="1"/>
  <c r="I201" i="47"/>
  <c r="I202" i="47" s="1"/>
  <c r="J201" i="47"/>
  <c r="J202" i="47" s="1"/>
  <c r="I205" i="47"/>
  <c r="I206" i="47" s="1"/>
  <c r="J205" i="47"/>
  <c r="J206" i="47" s="1"/>
  <c r="I207" i="47"/>
  <c r="I208" i="47" s="1"/>
  <c r="J207" i="47"/>
  <c r="J208" i="47" s="1"/>
  <c r="I209" i="47"/>
  <c r="I210" i="47" s="1"/>
  <c r="J209" i="47"/>
  <c r="J210" i="47" s="1"/>
  <c r="I211" i="47"/>
  <c r="I212" i="47" s="1"/>
  <c r="J211" i="47"/>
  <c r="J212" i="47" s="1"/>
  <c r="I213" i="47"/>
  <c r="I214" i="47" s="1"/>
  <c r="J213" i="47"/>
  <c r="J214" i="47" s="1"/>
  <c r="I215" i="47"/>
  <c r="I216" i="47" s="1"/>
  <c r="J215" i="47"/>
  <c r="J216" i="47" s="1"/>
  <c r="I217" i="47"/>
  <c r="I218" i="47" s="1"/>
  <c r="J217" i="47"/>
  <c r="J218" i="47" s="1"/>
  <c r="I219" i="47"/>
  <c r="I220" i="47" s="1"/>
  <c r="J219" i="47"/>
  <c r="J220" i="47" s="1"/>
  <c r="I221" i="47"/>
  <c r="I222" i="47" s="1"/>
  <c r="J221" i="47"/>
  <c r="J222" i="47" s="1"/>
  <c r="I223" i="47"/>
  <c r="I224" i="47" s="1"/>
  <c r="J223" i="47"/>
  <c r="J224" i="47" s="1"/>
  <c r="I225" i="47"/>
  <c r="J225" i="47"/>
  <c r="I237" i="47"/>
  <c r="I238" i="47" s="1"/>
  <c r="J237" i="47"/>
  <c r="J238" i="47" s="1"/>
  <c r="I239" i="47"/>
  <c r="I240" i="47" s="1"/>
  <c r="J239" i="47"/>
  <c r="J240" i="47" s="1"/>
  <c r="I241" i="47"/>
  <c r="I242" i="47" s="1"/>
  <c r="J241" i="47"/>
  <c r="J242" i="47" s="1"/>
  <c r="J247" i="47"/>
  <c r="J286" i="47" s="1"/>
  <c r="J76" i="47"/>
  <c r="J11" i="47"/>
  <c r="J159" i="47" s="1"/>
  <c r="J160" i="47" s="1"/>
  <c r="J10" i="47"/>
  <c r="J12" i="47" l="1"/>
  <c r="J157" i="47"/>
  <c r="J158" i="47" s="1"/>
  <c r="J165" i="47"/>
  <c r="J166" i="47" s="1"/>
  <c r="J164" i="47"/>
  <c r="I164" i="47"/>
  <c r="J243" i="47" l="1"/>
  <c r="H11" i="47"/>
  <c r="H12" i="47" s="1"/>
  <c r="I11" i="47"/>
  <c r="I8" i="47"/>
  <c r="I10" i="47"/>
  <c r="I12" i="47" l="1"/>
  <c r="I165" i="47"/>
  <c r="J245" i="47"/>
  <c r="J246" i="47" s="1"/>
  <c r="J244" i="47"/>
  <c r="E5" i="48"/>
  <c r="H155" i="47"/>
  <c r="G13" i="47"/>
  <c r="AG13" i="47" s="1"/>
  <c r="I166" i="47" l="1"/>
  <c r="I243" i="47"/>
  <c r="I245" i="47" s="1"/>
  <c r="F90" i="47"/>
  <c r="E4" i="48" l="1"/>
  <c r="D7" i="48"/>
  <c r="I7" i="48" s="1"/>
  <c r="H79" i="47" l="1"/>
  <c r="H46" i="47" l="1"/>
  <c r="H105" i="47"/>
  <c r="H106" i="47" s="1"/>
  <c r="H100" i="47"/>
  <c r="G105" i="47" l="1"/>
  <c r="G106" i="47" s="1"/>
  <c r="I58" i="47" l="1"/>
  <c r="D75" i="37"/>
  <c r="I40" i="47"/>
  <c r="I246" i="47" l="1"/>
  <c r="I244" i="47"/>
  <c r="D105" i="47"/>
  <c r="AG105" i="47" s="1"/>
  <c r="F5" i="48"/>
  <c r="F4" i="48"/>
  <c r="F8" i="48" l="1"/>
  <c r="F9" i="48" s="1"/>
  <c r="H142" i="47"/>
  <c r="H156" i="47" s="1"/>
  <c r="H44" i="47"/>
  <c r="AG142" i="47" l="1"/>
  <c r="H157" i="47"/>
  <c r="H158" i="47" s="1"/>
  <c r="G11" i="47"/>
  <c r="F11" i="47"/>
  <c r="H76" i="47" l="1"/>
  <c r="G76" i="47"/>
  <c r="E43" i="47"/>
  <c r="AG43" i="47" s="1"/>
  <c r="E45" i="47" l="1"/>
  <c r="AG45" i="47" s="1"/>
  <c r="E239" i="37" l="1"/>
  <c r="E236" i="37"/>
  <c r="E155" i="47"/>
  <c r="E156" i="47" s="1"/>
  <c r="F155" i="47"/>
  <c r="F156" i="47" s="1"/>
  <c r="AG155" i="47" l="1"/>
  <c r="E8" i="48" l="1"/>
  <c r="E9" i="48" s="1"/>
  <c r="D27" i="47" l="1"/>
  <c r="AG27" i="47" s="1"/>
  <c r="F28" i="47"/>
  <c r="D28" i="47" l="1"/>
  <c r="F72" i="47"/>
  <c r="E75" i="47" l="1"/>
  <c r="E76" i="47"/>
  <c r="E106" i="47" l="1"/>
  <c r="F76" i="47"/>
  <c r="F75" i="47"/>
  <c r="AG75" i="47" s="1"/>
  <c r="E247" i="47"/>
  <c r="E286" i="47" s="1"/>
  <c r="E11" i="47"/>
  <c r="H6" i="38"/>
  <c r="F106" i="47" l="1"/>
  <c r="F157" i="47" s="1"/>
  <c r="D82" i="47"/>
  <c r="D76" i="47"/>
  <c r="D70" i="47"/>
  <c r="D56" i="47"/>
  <c r="AG56" i="47" s="1"/>
  <c r="D14" i="47"/>
  <c r="D90" i="47"/>
  <c r="AG90" i="47" s="1"/>
  <c r="D79" i="47"/>
  <c r="D80" i="47"/>
  <c r="D74" i="47"/>
  <c r="D46" i="47"/>
  <c r="D106" i="47" l="1"/>
  <c r="D157" i="47" s="1"/>
  <c r="AG79" i="47"/>
  <c r="D34" i="47" l="1"/>
  <c r="D18" i="47"/>
  <c r="D14" i="48" l="1"/>
  <c r="C28" i="48"/>
  <c r="M14" i="48"/>
  <c r="I13" i="48"/>
  <c r="I12" i="48"/>
  <c r="I11" i="48"/>
  <c r="I10" i="48"/>
  <c r="D5" i="48"/>
  <c r="I5" i="48" s="1"/>
  <c r="D4" i="48"/>
  <c r="I4" i="48" s="1"/>
  <c r="J4" i="48" l="1"/>
  <c r="D8" i="48"/>
  <c r="J7" i="48"/>
  <c r="L14" i="38"/>
  <c r="D11" i="47"/>
  <c r="AG11" i="47" s="1"/>
  <c r="T286" i="47"/>
  <c r="AA241" i="47"/>
  <c r="AA242" i="47" s="1"/>
  <c r="Q241" i="47"/>
  <c r="Q242" i="47" s="1"/>
  <c r="O241" i="47"/>
  <c r="O242" i="47" s="1"/>
  <c r="N241" i="47"/>
  <c r="N242" i="47" s="1"/>
  <c r="H241" i="47"/>
  <c r="H242" i="47" s="1"/>
  <c r="D241" i="47"/>
  <c r="D242" i="47" s="1"/>
  <c r="AF239" i="47"/>
  <c r="AF240" i="47" s="1"/>
  <c r="AE239" i="47"/>
  <c r="AE240" i="47" s="1"/>
  <c r="AD239" i="47"/>
  <c r="AD240" i="47" s="1"/>
  <c r="AC239" i="47"/>
  <c r="AC240" i="47" s="1"/>
  <c r="AA239" i="47"/>
  <c r="AA240" i="47" s="1"/>
  <c r="Z239" i="47"/>
  <c r="Z240" i="47" s="1"/>
  <c r="Y239" i="47"/>
  <c r="Y240" i="47" s="1"/>
  <c r="X239" i="47"/>
  <c r="X240" i="47" s="1"/>
  <c r="W239" i="47"/>
  <c r="W240" i="47" s="1"/>
  <c r="V239" i="47"/>
  <c r="V240" i="47" s="1"/>
  <c r="S239" i="47"/>
  <c r="S240" i="47" s="1"/>
  <c r="R239" i="47"/>
  <c r="R240" i="47" s="1"/>
  <c r="Q239" i="47"/>
  <c r="Q240" i="47" s="1"/>
  <c r="P239" i="47"/>
  <c r="P240" i="47" s="1"/>
  <c r="O239" i="47"/>
  <c r="O240" i="47" s="1"/>
  <c r="N239" i="47"/>
  <c r="N240" i="47" s="1"/>
  <c r="M239" i="47"/>
  <c r="M240" i="47" s="1"/>
  <c r="L239" i="47"/>
  <c r="L240" i="47" s="1"/>
  <c r="K239" i="47"/>
  <c r="K240" i="47" s="1"/>
  <c r="H239" i="47"/>
  <c r="H240" i="47" s="1"/>
  <c r="G239" i="47"/>
  <c r="G240" i="47" s="1"/>
  <c r="E239" i="47"/>
  <c r="E240" i="47" s="1"/>
  <c r="D239" i="47"/>
  <c r="D240" i="47" s="1"/>
  <c r="AF237" i="47"/>
  <c r="AF238" i="47" s="1"/>
  <c r="AE237" i="47"/>
  <c r="AE238" i="47" s="1"/>
  <c r="AD237" i="47"/>
  <c r="AD238" i="47" s="1"/>
  <c r="AC237" i="47"/>
  <c r="AC238" i="47" s="1"/>
  <c r="AA237" i="47"/>
  <c r="AA238" i="47" s="1"/>
  <c r="Z237" i="47"/>
  <c r="Z238" i="47" s="1"/>
  <c r="Y237" i="47"/>
  <c r="Y238" i="47" s="1"/>
  <c r="X237" i="47"/>
  <c r="X238" i="47" s="1"/>
  <c r="W237" i="47"/>
  <c r="W238" i="47" s="1"/>
  <c r="V237" i="47"/>
  <c r="V238" i="47" s="1"/>
  <c r="S237" i="47"/>
  <c r="S238" i="47" s="1"/>
  <c r="R237" i="47"/>
  <c r="R238" i="47" s="1"/>
  <c r="Q237" i="47"/>
  <c r="Q238" i="47" s="1"/>
  <c r="P237" i="47"/>
  <c r="P238" i="47" s="1"/>
  <c r="O237" i="47"/>
  <c r="O238" i="47" s="1"/>
  <c r="N237" i="47"/>
  <c r="N238" i="47" s="1"/>
  <c r="M237" i="47"/>
  <c r="M238" i="47" s="1"/>
  <c r="L237" i="47"/>
  <c r="L238" i="47" s="1"/>
  <c r="K237" i="47"/>
  <c r="K238" i="47" s="1"/>
  <c r="H237" i="47"/>
  <c r="H238" i="47" s="1"/>
  <c r="F237" i="47"/>
  <c r="E237" i="47"/>
  <c r="E238" i="47" s="1"/>
  <c r="D237" i="47"/>
  <c r="D238" i="47" s="1"/>
  <c r="AF225" i="47"/>
  <c r="AE225" i="47"/>
  <c r="AD225" i="47"/>
  <c r="AA225" i="47"/>
  <c r="Z225" i="47"/>
  <c r="Y225" i="47"/>
  <c r="X225" i="47"/>
  <c r="W225" i="47"/>
  <c r="V225" i="47"/>
  <c r="R225" i="47"/>
  <c r="Q225" i="47"/>
  <c r="P225" i="47"/>
  <c r="O225" i="47"/>
  <c r="N225" i="47"/>
  <c r="M225" i="47"/>
  <c r="L225" i="47"/>
  <c r="K225" i="47"/>
  <c r="H225" i="47"/>
  <c r="G225" i="47"/>
  <c r="E225" i="47"/>
  <c r="E226" i="47" s="1"/>
  <c r="D225" i="47"/>
  <c r="D226" i="47" s="1"/>
  <c r="AF223" i="47"/>
  <c r="AF224" i="47" s="1"/>
  <c r="AE223" i="47"/>
  <c r="AE224" i="47" s="1"/>
  <c r="AD223" i="47"/>
  <c r="AD224" i="47" s="1"/>
  <c r="AC223" i="47"/>
  <c r="AC224" i="47" s="1"/>
  <c r="AA223" i="47"/>
  <c r="AA224" i="47" s="1"/>
  <c r="Z223" i="47"/>
  <c r="Z224" i="47" s="1"/>
  <c r="Y223" i="47"/>
  <c r="Y224" i="47" s="1"/>
  <c r="X223" i="47"/>
  <c r="X224" i="47" s="1"/>
  <c r="W223" i="47"/>
  <c r="W224" i="47" s="1"/>
  <c r="V223" i="47"/>
  <c r="V224" i="47" s="1"/>
  <c r="S223" i="47"/>
  <c r="S224" i="47" s="1"/>
  <c r="R223" i="47"/>
  <c r="R224" i="47" s="1"/>
  <c r="Q223" i="47"/>
  <c r="Q224" i="47" s="1"/>
  <c r="P223" i="47"/>
  <c r="P224" i="47" s="1"/>
  <c r="O223" i="47"/>
  <c r="O224" i="47" s="1"/>
  <c r="N223" i="47"/>
  <c r="N224" i="47" s="1"/>
  <c r="M223" i="47"/>
  <c r="M224" i="47" s="1"/>
  <c r="L223" i="47"/>
  <c r="L224" i="47" s="1"/>
  <c r="H223" i="47"/>
  <c r="H224" i="47" s="1"/>
  <c r="G223" i="47"/>
  <c r="G224" i="47" s="1"/>
  <c r="E223" i="47"/>
  <c r="E224" i="47" s="1"/>
  <c r="D223" i="47"/>
  <c r="D224" i="47" s="1"/>
  <c r="AF221" i="47"/>
  <c r="AF222" i="47" s="1"/>
  <c r="AE221" i="47"/>
  <c r="AE222" i="47" s="1"/>
  <c r="AD221" i="47"/>
  <c r="AD222" i="47" s="1"/>
  <c r="AA221" i="47"/>
  <c r="AA222" i="47" s="1"/>
  <c r="Z221" i="47"/>
  <c r="Z222" i="47" s="1"/>
  <c r="Y221" i="47"/>
  <c r="Y222" i="47" s="1"/>
  <c r="X221" i="47"/>
  <c r="X222" i="47" s="1"/>
  <c r="V221" i="47"/>
  <c r="V222" i="47" s="1"/>
  <c r="R221" i="47"/>
  <c r="R222" i="47" s="1"/>
  <c r="Q221" i="47"/>
  <c r="Q222" i="47" s="1"/>
  <c r="P221" i="47"/>
  <c r="P222" i="47" s="1"/>
  <c r="O221" i="47"/>
  <c r="O222" i="47" s="1"/>
  <c r="N221" i="47"/>
  <c r="N222" i="47" s="1"/>
  <c r="M221" i="47"/>
  <c r="M222" i="47" s="1"/>
  <c r="L221" i="47"/>
  <c r="L222" i="47" s="1"/>
  <c r="K221" i="47"/>
  <c r="K222" i="47" s="1"/>
  <c r="H221" i="47"/>
  <c r="H222" i="47" s="1"/>
  <c r="G221" i="47"/>
  <c r="G222" i="47" s="1"/>
  <c r="AF219" i="47"/>
  <c r="AF220" i="47" s="1"/>
  <c r="AE219" i="47"/>
  <c r="AE220" i="47" s="1"/>
  <c r="AD219" i="47"/>
  <c r="AD220" i="47" s="1"/>
  <c r="AC219" i="47"/>
  <c r="AC220" i="47" s="1"/>
  <c r="AA219" i="47"/>
  <c r="AA220" i="47" s="1"/>
  <c r="Z219" i="47"/>
  <c r="Z220" i="47" s="1"/>
  <c r="Y219" i="47"/>
  <c r="Y220" i="47" s="1"/>
  <c r="X219" i="47"/>
  <c r="X220" i="47" s="1"/>
  <c r="W219" i="47"/>
  <c r="W220" i="47" s="1"/>
  <c r="V219" i="47"/>
  <c r="V220" i="47" s="1"/>
  <c r="S219" i="47"/>
  <c r="S220" i="47" s="1"/>
  <c r="R219" i="47"/>
  <c r="R220" i="47" s="1"/>
  <c r="Q219" i="47"/>
  <c r="Q220" i="47" s="1"/>
  <c r="P219" i="47"/>
  <c r="P220" i="47" s="1"/>
  <c r="O219" i="47"/>
  <c r="O220" i="47" s="1"/>
  <c r="N219" i="47"/>
  <c r="N220" i="47" s="1"/>
  <c r="M219" i="47"/>
  <c r="M220" i="47" s="1"/>
  <c r="L219" i="47"/>
  <c r="L220" i="47" s="1"/>
  <c r="K219" i="47"/>
  <c r="K220" i="47" s="1"/>
  <c r="H219" i="47"/>
  <c r="H220" i="47" s="1"/>
  <c r="G219" i="47"/>
  <c r="G220" i="47" s="1"/>
  <c r="AF217" i="47"/>
  <c r="AF218" i="47" s="1"/>
  <c r="AE217" i="47"/>
  <c r="AE218" i="47" s="1"/>
  <c r="AD217" i="47"/>
  <c r="AD218" i="47" s="1"/>
  <c r="AC217" i="47"/>
  <c r="AC218" i="47" s="1"/>
  <c r="AA217" i="47"/>
  <c r="AA218" i="47" s="1"/>
  <c r="Z217" i="47"/>
  <c r="Z218" i="47" s="1"/>
  <c r="Y217" i="47"/>
  <c r="Y218" i="47" s="1"/>
  <c r="X217" i="47"/>
  <c r="X218" i="47" s="1"/>
  <c r="W217" i="47"/>
  <c r="W218" i="47" s="1"/>
  <c r="V217" i="47"/>
  <c r="V218" i="47" s="1"/>
  <c r="S217" i="47"/>
  <c r="S218" i="47" s="1"/>
  <c r="R217" i="47"/>
  <c r="R218" i="47" s="1"/>
  <c r="Q217" i="47"/>
  <c r="Q218" i="47" s="1"/>
  <c r="P217" i="47"/>
  <c r="P218" i="47" s="1"/>
  <c r="O217" i="47"/>
  <c r="O218" i="47" s="1"/>
  <c r="N217" i="47"/>
  <c r="N218" i="47" s="1"/>
  <c r="M217" i="47"/>
  <c r="M218" i="47" s="1"/>
  <c r="L217" i="47"/>
  <c r="L218" i="47" s="1"/>
  <c r="K217" i="47"/>
  <c r="K218" i="47" s="1"/>
  <c r="H217" i="47"/>
  <c r="H218" i="47" s="1"/>
  <c r="G217" i="47"/>
  <c r="G218" i="47" s="1"/>
  <c r="E217" i="47"/>
  <c r="E218" i="47" s="1"/>
  <c r="D217" i="47"/>
  <c r="D218" i="47" s="1"/>
  <c r="AF215" i="47"/>
  <c r="AF216" i="47" s="1"/>
  <c r="AE215" i="47"/>
  <c r="AE216" i="47" s="1"/>
  <c r="AD215" i="47"/>
  <c r="AD216" i="47" s="1"/>
  <c r="AC215" i="47"/>
  <c r="AC216" i="47" s="1"/>
  <c r="AA215" i="47"/>
  <c r="AA216" i="47" s="1"/>
  <c r="Z215" i="47"/>
  <c r="Z216" i="47" s="1"/>
  <c r="Y215" i="47"/>
  <c r="Y216" i="47" s="1"/>
  <c r="X215" i="47"/>
  <c r="X216" i="47" s="1"/>
  <c r="W215" i="47"/>
  <c r="W216" i="47" s="1"/>
  <c r="V215" i="47"/>
  <c r="V216" i="47" s="1"/>
  <c r="S215" i="47"/>
  <c r="S216" i="47" s="1"/>
  <c r="R215" i="47"/>
  <c r="R216" i="47" s="1"/>
  <c r="Q215" i="47"/>
  <c r="Q216" i="47" s="1"/>
  <c r="P215" i="47"/>
  <c r="P216" i="47" s="1"/>
  <c r="O215" i="47"/>
  <c r="O216" i="47" s="1"/>
  <c r="N215" i="47"/>
  <c r="N216" i="47" s="1"/>
  <c r="M215" i="47"/>
  <c r="M216" i="47" s="1"/>
  <c r="L215" i="47"/>
  <c r="L216" i="47" s="1"/>
  <c r="K215" i="47"/>
  <c r="K216" i="47" s="1"/>
  <c r="H215" i="47"/>
  <c r="H216" i="47" s="1"/>
  <c r="G215" i="47"/>
  <c r="G216" i="47" s="1"/>
  <c r="F215" i="47"/>
  <c r="F216" i="47" s="1"/>
  <c r="AF213" i="47"/>
  <c r="AF214" i="47" s="1"/>
  <c r="AE213" i="47"/>
  <c r="AE214" i="47" s="1"/>
  <c r="AD213" i="47"/>
  <c r="AD214" i="47" s="1"/>
  <c r="AC213" i="47"/>
  <c r="AC214" i="47" s="1"/>
  <c r="AA213" i="47"/>
  <c r="AA214" i="47" s="1"/>
  <c r="Z213" i="47"/>
  <c r="Z214" i="47" s="1"/>
  <c r="Y213" i="47"/>
  <c r="Y214" i="47" s="1"/>
  <c r="X213" i="47"/>
  <c r="X214" i="47" s="1"/>
  <c r="W213" i="47"/>
  <c r="W214" i="47" s="1"/>
  <c r="V213" i="47"/>
  <c r="V214" i="47" s="1"/>
  <c r="S213" i="47"/>
  <c r="S214" i="47" s="1"/>
  <c r="R213" i="47"/>
  <c r="R214" i="47" s="1"/>
  <c r="Q213" i="47"/>
  <c r="Q214" i="47" s="1"/>
  <c r="P213" i="47"/>
  <c r="P214" i="47" s="1"/>
  <c r="O213" i="47"/>
  <c r="O214" i="47" s="1"/>
  <c r="N213" i="47"/>
  <c r="N214" i="47" s="1"/>
  <c r="M213" i="47"/>
  <c r="M214" i="47" s="1"/>
  <c r="L213" i="47"/>
  <c r="L214" i="47" s="1"/>
  <c r="K213" i="47"/>
  <c r="K214" i="47" s="1"/>
  <c r="H213" i="47"/>
  <c r="H214" i="47" s="1"/>
  <c r="G213" i="47"/>
  <c r="G214" i="47" s="1"/>
  <c r="AF211" i="47"/>
  <c r="AF212" i="47" s="1"/>
  <c r="AE211" i="47"/>
  <c r="AE212" i="47" s="1"/>
  <c r="AD211" i="47"/>
  <c r="AD212" i="47" s="1"/>
  <c r="AC211" i="47"/>
  <c r="AC212" i="47" s="1"/>
  <c r="AA211" i="47"/>
  <c r="AA212" i="47" s="1"/>
  <c r="Z211" i="47"/>
  <c r="Z212" i="47" s="1"/>
  <c r="Y211" i="47"/>
  <c r="Y212" i="47" s="1"/>
  <c r="X211" i="47"/>
  <c r="X212" i="47" s="1"/>
  <c r="W211" i="47"/>
  <c r="W212" i="47" s="1"/>
  <c r="V211" i="47"/>
  <c r="V212" i="47" s="1"/>
  <c r="S211" i="47"/>
  <c r="S212" i="47" s="1"/>
  <c r="R211" i="47"/>
  <c r="R212" i="47" s="1"/>
  <c r="Q211" i="47"/>
  <c r="Q212" i="47" s="1"/>
  <c r="P211" i="47"/>
  <c r="P212" i="47" s="1"/>
  <c r="O211" i="47"/>
  <c r="O212" i="47" s="1"/>
  <c r="M211" i="47"/>
  <c r="M212" i="47" s="1"/>
  <c r="L211" i="47"/>
  <c r="L212" i="47" s="1"/>
  <c r="K211" i="47"/>
  <c r="K212" i="47" s="1"/>
  <c r="H211" i="47"/>
  <c r="H212" i="47" s="1"/>
  <c r="G211" i="47"/>
  <c r="G212" i="47" s="1"/>
  <c r="F211" i="47"/>
  <c r="F212" i="47" s="1"/>
  <c r="AF209" i="47"/>
  <c r="AF210" i="47" s="1"/>
  <c r="AE209" i="47"/>
  <c r="AE210" i="47" s="1"/>
  <c r="AD209" i="47"/>
  <c r="AD210" i="47" s="1"/>
  <c r="AC209" i="47"/>
  <c r="AC210" i="47" s="1"/>
  <c r="AA209" i="47"/>
  <c r="AA210" i="47" s="1"/>
  <c r="Z209" i="47"/>
  <c r="Z210" i="47" s="1"/>
  <c r="Y209" i="47"/>
  <c r="Y210" i="47" s="1"/>
  <c r="X209" i="47"/>
  <c r="X210" i="47" s="1"/>
  <c r="W209" i="47"/>
  <c r="W210" i="47" s="1"/>
  <c r="V209" i="47"/>
  <c r="V210" i="47" s="1"/>
  <c r="S209" i="47"/>
  <c r="S210" i="47" s="1"/>
  <c r="R209" i="47"/>
  <c r="R210" i="47" s="1"/>
  <c r="Q209" i="47"/>
  <c r="Q210" i="47" s="1"/>
  <c r="P209" i="47"/>
  <c r="P210" i="47" s="1"/>
  <c r="O209" i="47"/>
  <c r="O210" i="47" s="1"/>
  <c r="N209" i="47"/>
  <c r="N210" i="47" s="1"/>
  <c r="M209" i="47"/>
  <c r="M210" i="47" s="1"/>
  <c r="L209" i="47"/>
  <c r="L210" i="47" s="1"/>
  <c r="K209" i="47"/>
  <c r="K210" i="47" s="1"/>
  <c r="H209" i="47"/>
  <c r="H210" i="47" s="1"/>
  <c r="G209" i="47"/>
  <c r="G210" i="47" s="1"/>
  <c r="F209" i="47"/>
  <c r="F210" i="47" s="1"/>
  <c r="E209" i="47"/>
  <c r="E210" i="47" s="1"/>
  <c r="D209" i="47"/>
  <c r="D210" i="47" s="1"/>
  <c r="AF207" i="47"/>
  <c r="AF208" i="47" s="1"/>
  <c r="AE207" i="47"/>
  <c r="AE208" i="47" s="1"/>
  <c r="AD207" i="47"/>
  <c r="AD208" i="47" s="1"/>
  <c r="AC207" i="47"/>
  <c r="AC208" i="47" s="1"/>
  <c r="AA207" i="47"/>
  <c r="AA208" i="47" s="1"/>
  <c r="Z207" i="47"/>
  <c r="Z208" i="47" s="1"/>
  <c r="Y207" i="47"/>
  <c r="Y208" i="47" s="1"/>
  <c r="X207" i="47"/>
  <c r="X208" i="47" s="1"/>
  <c r="W207" i="47"/>
  <c r="W208" i="47" s="1"/>
  <c r="V207" i="47"/>
  <c r="V208" i="47" s="1"/>
  <c r="S207" i="47"/>
  <c r="S208" i="47" s="1"/>
  <c r="R207" i="47"/>
  <c r="R208" i="47" s="1"/>
  <c r="Q207" i="47"/>
  <c r="Q208" i="47" s="1"/>
  <c r="P207" i="47"/>
  <c r="P208" i="47" s="1"/>
  <c r="O207" i="47"/>
  <c r="O208" i="47" s="1"/>
  <c r="N207" i="47"/>
  <c r="N208" i="47" s="1"/>
  <c r="M207" i="47"/>
  <c r="M208" i="47" s="1"/>
  <c r="L207" i="47"/>
  <c r="L208" i="47" s="1"/>
  <c r="K207" i="47"/>
  <c r="K208" i="47" s="1"/>
  <c r="H207" i="47"/>
  <c r="H208" i="47" s="1"/>
  <c r="G207" i="47"/>
  <c r="G208" i="47" s="1"/>
  <c r="F207" i="47"/>
  <c r="F208" i="47" s="1"/>
  <c r="Y205" i="47"/>
  <c r="Y206" i="47" s="1"/>
  <c r="X205" i="47"/>
  <c r="X206" i="47" s="1"/>
  <c r="R205" i="47"/>
  <c r="R206" i="47" s="1"/>
  <c r="N205" i="47"/>
  <c r="N206" i="47" s="1"/>
  <c r="K205" i="47"/>
  <c r="K206" i="47" s="1"/>
  <c r="H205" i="47"/>
  <c r="H206" i="47" s="1"/>
  <c r="G205" i="47"/>
  <c r="G206" i="47" s="1"/>
  <c r="F205" i="47"/>
  <c r="F206" i="47" s="1"/>
  <c r="P202" i="47"/>
  <c r="AA201" i="47"/>
  <c r="AA202" i="47" s="1"/>
  <c r="Z201" i="47"/>
  <c r="Z202" i="47" s="1"/>
  <c r="Y201" i="47"/>
  <c r="Y202" i="47" s="1"/>
  <c r="X201" i="47"/>
  <c r="X202" i="47" s="1"/>
  <c r="V201" i="47"/>
  <c r="V202" i="47" s="1"/>
  <c r="R201" i="47"/>
  <c r="R202" i="47" s="1"/>
  <c r="Q201" i="47"/>
  <c r="Q202" i="47" s="1"/>
  <c r="P201" i="47"/>
  <c r="N201" i="47"/>
  <c r="N202" i="47" s="1"/>
  <c r="L201" i="47"/>
  <c r="L202" i="47" s="1"/>
  <c r="K201" i="47"/>
  <c r="K202" i="47" s="1"/>
  <c r="H201" i="47"/>
  <c r="H202" i="47" s="1"/>
  <c r="G201" i="47"/>
  <c r="G202" i="47" s="1"/>
  <c r="F201" i="47"/>
  <c r="F202" i="47" s="1"/>
  <c r="AF199" i="47"/>
  <c r="AF200" i="47" s="1"/>
  <c r="AE199" i="47"/>
  <c r="AE200" i="47" s="1"/>
  <c r="AD199" i="47"/>
  <c r="AD200" i="47" s="1"/>
  <c r="AC199" i="47"/>
  <c r="AC200" i="47" s="1"/>
  <c r="AA199" i="47"/>
  <c r="AA200" i="47" s="1"/>
  <c r="Z199" i="47"/>
  <c r="Z200" i="47" s="1"/>
  <c r="Y199" i="47"/>
  <c r="Y200" i="47" s="1"/>
  <c r="X199" i="47"/>
  <c r="X200" i="47" s="1"/>
  <c r="W199" i="47"/>
  <c r="W200" i="47" s="1"/>
  <c r="V199" i="47"/>
  <c r="V200" i="47" s="1"/>
  <c r="S199" i="47"/>
  <c r="S200" i="47" s="1"/>
  <c r="R199" i="47"/>
  <c r="R200" i="47" s="1"/>
  <c r="Q199" i="47"/>
  <c r="Q200" i="47" s="1"/>
  <c r="P199" i="47"/>
  <c r="P200" i="47" s="1"/>
  <c r="O199" i="47"/>
  <c r="O200" i="47" s="1"/>
  <c r="N199" i="47"/>
  <c r="N200" i="47" s="1"/>
  <c r="M199" i="47"/>
  <c r="M200" i="47" s="1"/>
  <c r="L199" i="47"/>
  <c r="L200" i="47" s="1"/>
  <c r="K199" i="47"/>
  <c r="K200" i="47" s="1"/>
  <c r="H199" i="47"/>
  <c r="H200" i="47" s="1"/>
  <c r="G199" i="47"/>
  <c r="G200" i="47" s="1"/>
  <c r="F199" i="47"/>
  <c r="F200" i="47" s="1"/>
  <c r="AF197" i="47"/>
  <c r="AF198" i="47" s="1"/>
  <c r="AE197" i="47"/>
  <c r="AE198" i="47" s="1"/>
  <c r="AD197" i="47"/>
  <c r="AD198" i="47" s="1"/>
  <c r="AC197" i="47"/>
  <c r="AC198" i="47" s="1"/>
  <c r="AA197" i="47"/>
  <c r="AA198" i="47" s="1"/>
  <c r="Z197" i="47"/>
  <c r="Z198" i="47" s="1"/>
  <c r="Y197" i="47"/>
  <c r="Y198" i="47" s="1"/>
  <c r="X197" i="47"/>
  <c r="X198" i="47" s="1"/>
  <c r="W197" i="47"/>
  <c r="W198" i="47" s="1"/>
  <c r="V197" i="47"/>
  <c r="V198" i="47" s="1"/>
  <c r="S197" i="47"/>
  <c r="S198" i="47" s="1"/>
  <c r="R197" i="47"/>
  <c r="R198" i="47" s="1"/>
  <c r="Q197" i="47"/>
  <c r="Q198" i="47" s="1"/>
  <c r="P197" i="47"/>
  <c r="P198" i="47" s="1"/>
  <c r="O197" i="47"/>
  <c r="O198" i="47" s="1"/>
  <c r="N197" i="47"/>
  <c r="N198" i="47" s="1"/>
  <c r="M197" i="47"/>
  <c r="M198" i="47" s="1"/>
  <c r="L197" i="47"/>
  <c r="L198" i="47" s="1"/>
  <c r="K197" i="47"/>
  <c r="K198" i="47" s="1"/>
  <c r="H197" i="47"/>
  <c r="H198" i="47" s="1"/>
  <c r="G197" i="47"/>
  <c r="G198" i="47" s="1"/>
  <c r="F197" i="47"/>
  <c r="F198" i="47" s="1"/>
  <c r="E197" i="47"/>
  <c r="E198" i="47" s="1"/>
  <c r="D197" i="47"/>
  <c r="D198" i="47" s="1"/>
  <c r="AF195" i="47"/>
  <c r="AF196" i="47" s="1"/>
  <c r="AE195" i="47"/>
  <c r="AE196" i="47" s="1"/>
  <c r="AD195" i="47"/>
  <c r="AD196" i="47" s="1"/>
  <c r="AC195" i="47"/>
  <c r="AC196" i="47" s="1"/>
  <c r="AA195" i="47"/>
  <c r="AA196" i="47" s="1"/>
  <c r="Z195" i="47"/>
  <c r="Z196" i="47" s="1"/>
  <c r="Y195" i="47"/>
  <c r="Y196" i="47" s="1"/>
  <c r="X195" i="47"/>
  <c r="X196" i="47" s="1"/>
  <c r="W195" i="47"/>
  <c r="W196" i="47" s="1"/>
  <c r="V195" i="47"/>
  <c r="V196" i="47" s="1"/>
  <c r="S195" i="47"/>
  <c r="S196" i="47" s="1"/>
  <c r="R195" i="47"/>
  <c r="R196" i="47" s="1"/>
  <c r="Q195" i="47"/>
  <c r="Q196" i="47" s="1"/>
  <c r="P195" i="47"/>
  <c r="P196" i="47" s="1"/>
  <c r="O195" i="47"/>
  <c r="O196" i="47" s="1"/>
  <c r="N195" i="47"/>
  <c r="N196" i="47" s="1"/>
  <c r="M195" i="47"/>
  <c r="M196" i="47" s="1"/>
  <c r="L195" i="47"/>
  <c r="L196" i="47" s="1"/>
  <c r="K195" i="47"/>
  <c r="K196" i="47" s="1"/>
  <c r="H195" i="47"/>
  <c r="H196" i="47" s="1"/>
  <c r="G195" i="47"/>
  <c r="G196" i="47" s="1"/>
  <c r="F195" i="47"/>
  <c r="F196" i="47" s="1"/>
  <c r="E195" i="47"/>
  <c r="E196" i="47" s="1"/>
  <c r="D195" i="47"/>
  <c r="D196" i="47" s="1"/>
  <c r="AF193" i="47"/>
  <c r="AF194" i="47" s="1"/>
  <c r="AE193" i="47"/>
  <c r="AE194" i="47" s="1"/>
  <c r="AD193" i="47"/>
  <c r="AD194" i="47" s="1"/>
  <c r="AC193" i="47"/>
  <c r="AC194" i="47" s="1"/>
  <c r="AA193" i="47"/>
  <c r="AA194" i="47" s="1"/>
  <c r="Z193" i="47"/>
  <c r="Z194" i="47" s="1"/>
  <c r="Y193" i="47"/>
  <c r="Y194" i="47" s="1"/>
  <c r="X193" i="47"/>
  <c r="X194" i="47" s="1"/>
  <c r="W193" i="47"/>
  <c r="W194" i="47" s="1"/>
  <c r="V193" i="47"/>
  <c r="V194" i="47" s="1"/>
  <c r="S193" i="47"/>
  <c r="S194" i="47" s="1"/>
  <c r="R193" i="47"/>
  <c r="R194" i="47" s="1"/>
  <c r="Q193" i="47"/>
  <c r="Q194" i="47" s="1"/>
  <c r="P193" i="47"/>
  <c r="P194" i="47" s="1"/>
  <c r="O193" i="47"/>
  <c r="O194" i="47" s="1"/>
  <c r="N193" i="47"/>
  <c r="N194" i="47" s="1"/>
  <c r="M193" i="47"/>
  <c r="M194" i="47" s="1"/>
  <c r="L193" i="47"/>
  <c r="L194" i="47" s="1"/>
  <c r="K193" i="47"/>
  <c r="K194" i="47" s="1"/>
  <c r="H193" i="47"/>
  <c r="H194" i="47" s="1"/>
  <c r="G193" i="47"/>
  <c r="G194" i="47" s="1"/>
  <c r="F193" i="47"/>
  <c r="F194" i="47" s="1"/>
  <c r="E193" i="47"/>
  <c r="E194" i="47" s="1"/>
  <c r="D193" i="47"/>
  <c r="D194" i="47" s="1"/>
  <c r="AF191" i="47"/>
  <c r="AF192" i="47" s="1"/>
  <c r="AE191" i="47"/>
  <c r="AE192" i="47" s="1"/>
  <c r="AD191" i="47"/>
  <c r="AD192" i="47" s="1"/>
  <c r="AC191" i="47"/>
  <c r="AC192" i="47" s="1"/>
  <c r="AA191" i="47"/>
  <c r="AA192" i="47" s="1"/>
  <c r="Z191" i="47"/>
  <c r="Z192" i="47" s="1"/>
  <c r="Y191" i="47"/>
  <c r="Y192" i="47" s="1"/>
  <c r="X191" i="47"/>
  <c r="X192" i="47" s="1"/>
  <c r="W191" i="47"/>
  <c r="W192" i="47" s="1"/>
  <c r="V191" i="47"/>
  <c r="V192" i="47" s="1"/>
  <c r="S191" i="47"/>
  <c r="S192" i="47" s="1"/>
  <c r="R191" i="47"/>
  <c r="R192" i="47" s="1"/>
  <c r="Q191" i="47"/>
  <c r="Q192" i="47" s="1"/>
  <c r="P191" i="47"/>
  <c r="P192" i="47" s="1"/>
  <c r="O191" i="47"/>
  <c r="O192" i="47" s="1"/>
  <c r="N191" i="47"/>
  <c r="N192" i="47" s="1"/>
  <c r="M191" i="47"/>
  <c r="M192" i="47" s="1"/>
  <c r="L191" i="47"/>
  <c r="L192" i="47" s="1"/>
  <c r="K191" i="47"/>
  <c r="K192" i="47" s="1"/>
  <c r="H191" i="47"/>
  <c r="H192" i="47" s="1"/>
  <c r="G191" i="47"/>
  <c r="G192" i="47" s="1"/>
  <c r="F191" i="47"/>
  <c r="F192" i="47" s="1"/>
  <c r="E191" i="47"/>
  <c r="E192" i="47" s="1"/>
  <c r="D191" i="47"/>
  <c r="D192" i="47" s="1"/>
  <c r="AG189" i="47"/>
  <c r="M188" i="47"/>
  <c r="L188" i="47"/>
  <c r="AF187" i="47"/>
  <c r="AF188" i="47" s="1"/>
  <c r="AE187" i="47"/>
  <c r="AE188" i="47" s="1"/>
  <c r="AD187" i="47"/>
  <c r="AD188" i="47" s="1"/>
  <c r="AC187" i="47"/>
  <c r="AC188" i="47" s="1"/>
  <c r="AA187" i="47"/>
  <c r="AA188" i="47" s="1"/>
  <c r="Z187" i="47"/>
  <c r="Z188" i="47" s="1"/>
  <c r="Y187" i="47"/>
  <c r="Y188" i="47" s="1"/>
  <c r="X187" i="47"/>
  <c r="X188" i="47" s="1"/>
  <c r="W187" i="47"/>
  <c r="W188" i="47" s="1"/>
  <c r="V187" i="47"/>
  <c r="V188" i="47" s="1"/>
  <c r="S187" i="47"/>
  <c r="S188" i="47" s="1"/>
  <c r="R187" i="47"/>
  <c r="R188" i="47" s="1"/>
  <c r="Q187" i="47"/>
  <c r="Q188" i="47" s="1"/>
  <c r="P187" i="47"/>
  <c r="P188" i="47" s="1"/>
  <c r="O187" i="47"/>
  <c r="O188" i="47" s="1"/>
  <c r="H187" i="47"/>
  <c r="H188" i="47" s="1"/>
  <c r="G187" i="47"/>
  <c r="G188" i="47" s="1"/>
  <c r="F187" i="47"/>
  <c r="F188" i="47" s="1"/>
  <c r="E187" i="47"/>
  <c r="E188" i="47" s="1"/>
  <c r="D187" i="47"/>
  <c r="AF185" i="47"/>
  <c r="AE185" i="47"/>
  <c r="AD185" i="47"/>
  <c r="AA185" i="47"/>
  <c r="Z185" i="47"/>
  <c r="Y185" i="47"/>
  <c r="X185" i="47"/>
  <c r="W185" i="47"/>
  <c r="V185" i="47"/>
  <c r="S185" i="47"/>
  <c r="R185" i="47"/>
  <c r="Q185" i="47"/>
  <c r="P185" i="47"/>
  <c r="O185" i="47"/>
  <c r="N185" i="47"/>
  <c r="M185" i="47"/>
  <c r="M186" i="47" s="1"/>
  <c r="L185" i="47"/>
  <c r="K185" i="47"/>
  <c r="H185" i="47"/>
  <c r="H186" i="47" s="1"/>
  <c r="G185" i="47"/>
  <c r="G186" i="47" s="1"/>
  <c r="F185" i="47"/>
  <c r="F186" i="47" s="1"/>
  <c r="E185" i="47"/>
  <c r="E186" i="47" s="1"/>
  <c r="D185" i="47"/>
  <c r="D186" i="47" s="1"/>
  <c r="AF183" i="47"/>
  <c r="AF184" i="47" s="1"/>
  <c r="AE183" i="47"/>
  <c r="AE184" i="47" s="1"/>
  <c r="AD183" i="47"/>
  <c r="AD184" i="47" s="1"/>
  <c r="AC183" i="47"/>
  <c r="AC184" i="47" s="1"/>
  <c r="AA183" i="47"/>
  <c r="AA184" i="47" s="1"/>
  <c r="Z183" i="47"/>
  <c r="Z184" i="47" s="1"/>
  <c r="Y183" i="47"/>
  <c r="Y184" i="47" s="1"/>
  <c r="X183" i="47"/>
  <c r="X184" i="47" s="1"/>
  <c r="W183" i="47"/>
  <c r="W184" i="47" s="1"/>
  <c r="V183" i="47"/>
  <c r="V184" i="47" s="1"/>
  <c r="S183" i="47"/>
  <c r="S184" i="47" s="1"/>
  <c r="R183" i="47"/>
  <c r="R184" i="47" s="1"/>
  <c r="Q183" i="47"/>
  <c r="Q184" i="47" s="1"/>
  <c r="P183" i="47"/>
  <c r="P184" i="47" s="1"/>
  <c r="O183" i="47"/>
  <c r="O184" i="47" s="1"/>
  <c r="N183" i="47"/>
  <c r="N184" i="47" s="1"/>
  <c r="M183" i="47"/>
  <c r="M184" i="47" s="1"/>
  <c r="L183" i="47"/>
  <c r="L184" i="47" s="1"/>
  <c r="K183" i="47"/>
  <c r="K184" i="47" s="1"/>
  <c r="H183" i="47"/>
  <c r="H184" i="47" s="1"/>
  <c r="G183" i="47"/>
  <c r="G184" i="47" s="1"/>
  <c r="F183" i="47"/>
  <c r="F184" i="47" s="1"/>
  <c r="E183" i="47"/>
  <c r="E184" i="47" s="1"/>
  <c r="D183" i="47"/>
  <c r="D184" i="47" s="1"/>
  <c r="AF181" i="47"/>
  <c r="AF182" i="47" s="1"/>
  <c r="AE181" i="47"/>
  <c r="AE182" i="47" s="1"/>
  <c r="AD181" i="47"/>
  <c r="AD182" i="47" s="1"/>
  <c r="AC181" i="47"/>
  <c r="AC182" i="47" s="1"/>
  <c r="AA181" i="47"/>
  <c r="AA182" i="47" s="1"/>
  <c r="Z181" i="47"/>
  <c r="Z182" i="47" s="1"/>
  <c r="Y181" i="47"/>
  <c r="Y182" i="47" s="1"/>
  <c r="X181" i="47"/>
  <c r="X182" i="47" s="1"/>
  <c r="W181" i="47"/>
  <c r="W182" i="47" s="1"/>
  <c r="V181" i="47"/>
  <c r="V182" i="47" s="1"/>
  <c r="R181" i="47"/>
  <c r="R182" i="47" s="1"/>
  <c r="Q181" i="47"/>
  <c r="Q182" i="47" s="1"/>
  <c r="O181" i="47"/>
  <c r="O182" i="47" s="1"/>
  <c r="N181" i="47"/>
  <c r="N182" i="47" s="1"/>
  <c r="M181" i="47"/>
  <c r="M182" i="47" s="1"/>
  <c r="L181" i="47"/>
  <c r="L182" i="47" s="1"/>
  <c r="H181" i="47"/>
  <c r="H182" i="47" s="1"/>
  <c r="G181" i="47"/>
  <c r="G182" i="47" s="1"/>
  <c r="F181" i="47"/>
  <c r="F182" i="47" s="1"/>
  <c r="E181" i="47"/>
  <c r="E182" i="47" s="1"/>
  <c r="D181" i="47"/>
  <c r="D182" i="47" s="1"/>
  <c r="AF179" i="47"/>
  <c r="AF180" i="47" s="1"/>
  <c r="AE179" i="47"/>
  <c r="AE180" i="47" s="1"/>
  <c r="AD179" i="47"/>
  <c r="AD180" i="47" s="1"/>
  <c r="AC179" i="47"/>
  <c r="AC180" i="47" s="1"/>
  <c r="AA179" i="47"/>
  <c r="AA180" i="47" s="1"/>
  <c r="Z179" i="47"/>
  <c r="Z180" i="47" s="1"/>
  <c r="Y179" i="47"/>
  <c r="Y180" i="47" s="1"/>
  <c r="X179" i="47"/>
  <c r="X180" i="47" s="1"/>
  <c r="W179" i="47"/>
  <c r="W180" i="47" s="1"/>
  <c r="V179" i="47"/>
  <c r="V180" i="47" s="1"/>
  <c r="S179" i="47"/>
  <c r="S180" i="47" s="1"/>
  <c r="R179" i="47"/>
  <c r="R180" i="47" s="1"/>
  <c r="Q179" i="47"/>
  <c r="Q180" i="47" s="1"/>
  <c r="P179" i="47"/>
  <c r="P180" i="47" s="1"/>
  <c r="O179" i="47"/>
  <c r="O180" i="47" s="1"/>
  <c r="M179" i="47"/>
  <c r="M180" i="47" s="1"/>
  <c r="L179" i="47"/>
  <c r="L180" i="47" s="1"/>
  <c r="K179" i="47"/>
  <c r="K180" i="47" s="1"/>
  <c r="H179" i="47"/>
  <c r="G179" i="47"/>
  <c r="G180" i="47" s="1"/>
  <c r="F179" i="47"/>
  <c r="F180" i="47" s="1"/>
  <c r="E179" i="47"/>
  <c r="E180" i="47" s="1"/>
  <c r="D179" i="47"/>
  <c r="D180" i="47" s="1"/>
  <c r="M178" i="47"/>
  <c r="AF177" i="47"/>
  <c r="AF178" i="47" s="1"/>
  <c r="AE177" i="47"/>
  <c r="AE178" i="47" s="1"/>
  <c r="AD177" i="47"/>
  <c r="AD178" i="47" s="1"/>
  <c r="AC177" i="47"/>
  <c r="AC178" i="47" s="1"/>
  <c r="AA177" i="47"/>
  <c r="AA178" i="47" s="1"/>
  <c r="Z177" i="47"/>
  <c r="Z178" i="47" s="1"/>
  <c r="Y177" i="47"/>
  <c r="Y178" i="47" s="1"/>
  <c r="X177" i="47"/>
  <c r="X178" i="47" s="1"/>
  <c r="W177" i="47"/>
  <c r="W178" i="47" s="1"/>
  <c r="V177" i="47"/>
  <c r="V178" i="47" s="1"/>
  <c r="S177" i="47"/>
  <c r="S178" i="47" s="1"/>
  <c r="R177" i="47"/>
  <c r="R178" i="47" s="1"/>
  <c r="Q177" i="47"/>
  <c r="Q178" i="47" s="1"/>
  <c r="P177" i="47"/>
  <c r="P178" i="47" s="1"/>
  <c r="O177" i="47"/>
  <c r="O178" i="47" s="1"/>
  <c r="L177" i="47"/>
  <c r="L178" i="47" s="1"/>
  <c r="H177" i="47"/>
  <c r="H178" i="47" s="1"/>
  <c r="G177" i="47"/>
  <c r="G178" i="47" s="1"/>
  <c r="F177" i="47"/>
  <c r="F178" i="47" s="1"/>
  <c r="E177" i="47"/>
  <c r="E178" i="47" s="1"/>
  <c r="D177" i="47"/>
  <c r="D178" i="47" s="1"/>
  <c r="AF175" i="47"/>
  <c r="AF176" i="47" s="1"/>
  <c r="AE175" i="47"/>
  <c r="AE176" i="47" s="1"/>
  <c r="AD175" i="47"/>
  <c r="AD176" i="47" s="1"/>
  <c r="AC175" i="47"/>
  <c r="AC176" i="47" s="1"/>
  <c r="AA175" i="47"/>
  <c r="AA176" i="47" s="1"/>
  <c r="Z175" i="47"/>
  <c r="Z176" i="47" s="1"/>
  <c r="Y175" i="47"/>
  <c r="Y176" i="47" s="1"/>
  <c r="X175" i="47"/>
  <c r="X176" i="47" s="1"/>
  <c r="W175" i="47"/>
  <c r="W176" i="47" s="1"/>
  <c r="V175" i="47"/>
  <c r="V176" i="47" s="1"/>
  <c r="S175" i="47"/>
  <c r="S176" i="47" s="1"/>
  <c r="R175" i="47"/>
  <c r="R176" i="47" s="1"/>
  <c r="Q175" i="47"/>
  <c r="Q176" i="47" s="1"/>
  <c r="P175" i="47"/>
  <c r="P176" i="47" s="1"/>
  <c r="O175" i="47"/>
  <c r="O176" i="47" s="1"/>
  <c r="L175" i="47"/>
  <c r="L176" i="47" s="1"/>
  <c r="H175" i="47"/>
  <c r="H176" i="47" s="1"/>
  <c r="G175" i="47"/>
  <c r="G176" i="47" s="1"/>
  <c r="F175" i="47"/>
  <c r="F176" i="47" s="1"/>
  <c r="E175" i="47"/>
  <c r="E176" i="47" s="1"/>
  <c r="D175" i="47"/>
  <c r="AF173" i="47"/>
  <c r="AF174" i="47" s="1"/>
  <c r="AE173" i="47"/>
  <c r="AE174" i="47" s="1"/>
  <c r="AD173" i="47"/>
  <c r="AD174" i="47" s="1"/>
  <c r="AC173" i="47"/>
  <c r="AC174" i="47" s="1"/>
  <c r="AA173" i="47"/>
  <c r="AA174" i="47" s="1"/>
  <c r="Z173" i="47"/>
  <c r="Z174" i="47" s="1"/>
  <c r="Y173" i="47"/>
  <c r="Y174" i="47" s="1"/>
  <c r="X173" i="47"/>
  <c r="X174" i="47" s="1"/>
  <c r="V173" i="47"/>
  <c r="V174" i="47" s="1"/>
  <c r="S173" i="47"/>
  <c r="S174" i="47" s="1"/>
  <c r="R173" i="47"/>
  <c r="R174" i="47" s="1"/>
  <c r="Q173" i="47"/>
  <c r="Q174" i="47" s="1"/>
  <c r="O173" i="47"/>
  <c r="O174" i="47" s="1"/>
  <c r="N173" i="47"/>
  <c r="N174" i="47" s="1"/>
  <c r="M173" i="47"/>
  <c r="M174" i="47" s="1"/>
  <c r="L173" i="47"/>
  <c r="L174" i="47" s="1"/>
  <c r="K173" i="47"/>
  <c r="K174" i="47" s="1"/>
  <c r="H173" i="47"/>
  <c r="H174" i="47" s="1"/>
  <c r="G173" i="47"/>
  <c r="G174" i="47" s="1"/>
  <c r="F173" i="47"/>
  <c r="F174" i="47" s="1"/>
  <c r="E173" i="47"/>
  <c r="E174" i="47" s="1"/>
  <c r="D173" i="47"/>
  <c r="D174" i="47" s="1"/>
  <c r="AF171" i="47"/>
  <c r="AF172" i="47" s="1"/>
  <c r="AE171" i="47"/>
  <c r="AE172" i="47" s="1"/>
  <c r="AD171" i="47"/>
  <c r="AD172" i="47" s="1"/>
  <c r="AC171" i="47"/>
  <c r="AC172" i="47" s="1"/>
  <c r="AA171" i="47"/>
  <c r="AA172" i="47" s="1"/>
  <c r="Z171" i="47"/>
  <c r="Z172" i="47" s="1"/>
  <c r="X171" i="47"/>
  <c r="X172" i="47" s="1"/>
  <c r="W171" i="47"/>
  <c r="W172" i="47" s="1"/>
  <c r="V171" i="47"/>
  <c r="V172" i="47" s="1"/>
  <c r="S171" i="47"/>
  <c r="S172" i="47" s="1"/>
  <c r="R171" i="47"/>
  <c r="R172" i="47" s="1"/>
  <c r="Q171" i="47"/>
  <c r="Q172" i="47" s="1"/>
  <c r="P171" i="47"/>
  <c r="P172" i="47" s="1"/>
  <c r="O171" i="47"/>
  <c r="O172" i="47" s="1"/>
  <c r="M171" i="47"/>
  <c r="M172" i="47" s="1"/>
  <c r="L171" i="47"/>
  <c r="L172" i="47" s="1"/>
  <c r="K171" i="47"/>
  <c r="K172" i="47" s="1"/>
  <c r="H171" i="47"/>
  <c r="H172" i="47" s="1"/>
  <c r="G171" i="47"/>
  <c r="G172" i="47" s="1"/>
  <c r="F171" i="47"/>
  <c r="F172" i="47" s="1"/>
  <c r="E171" i="47"/>
  <c r="E172" i="47" s="1"/>
  <c r="D171" i="47"/>
  <c r="D172" i="47" s="1"/>
  <c r="AF169" i="47"/>
  <c r="AF170" i="47" s="1"/>
  <c r="AE169" i="47"/>
  <c r="AE170" i="47" s="1"/>
  <c r="AD169" i="47"/>
  <c r="AD170" i="47" s="1"/>
  <c r="AC169" i="47"/>
  <c r="AC170" i="47" s="1"/>
  <c r="AA169" i="47"/>
  <c r="AA170" i="47" s="1"/>
  <c r="Z169" i="47"/>
  <c r="Z170" i="47" s="1"/>
  <c r="Y169" i="47"/>
  <c r="Y170" i="47" s="1"/>
  <c r="X169" i="47"/>
  <c r="X170" i="47" s="1"/>
  <c r="W169" i="47"/>
  <c r="W170" i="47" s="1"/>
  <c r="V169" i="47"/>
  <c r="V170" i="47" s="1"/>
  <c r="S169" i="47"/>
  <c r="S170" i="47" s="1"/>
  <c r="R169" i="47"/>
  <c r="R170" i="47" s="1"/>
  <c r="Q169" i="47"/>
  <c r="Q170" i="47" s="1"/>
  <c r="P169" i="47"/>
  <c r="P170" i="47" s="1"/>
  <c r="O169" i="47"/>
  <c r="O170" i="47" s="1"/>
  <c r="N169" i="47"/>
  <c r="M169" i="47"/>
  <c r="M170" i="47" s="1"/>
  <c r="L169" i="47"/>
  <c r="L170" i="47" s="1"/>
  <c r="K169" i="47"/>
  <c r="K170" i="47" s="1"/>
  <c r="H169" i="47"/>
  <c r="H170" i="47" s="1"/>
  <c r="G169" i="47"/>
  <c r="G170" i="47" s="1"/>
  <c r="F169" i="47"/>
  <c r="F170" i="47" s="1"/>
  <c r="E169" i="47"/>
  <c r="E170" i="47" s="1"/>
  <c r="D169" i="47"/>
  <c r="D170" i="47" s="1"/>
  <c r="AF167" i="47"/>
  <c r="AF168" i="47" s="1"/>
  <c r="AE167" i="47"/>
  <c r="AE168" i="47" s="1"/>
  <c r="AD167" i="47"/>
  <c r="AD168" i="47" s="1"/>
  <c r="AC167" i="47"/>
  <c r="AC168" i="47" s="1"/>
  <c r="AA167" i="47"/>
  <c r="AA168" i="47" s="1"/>
  <c r="Z167" i="47"/>
  <c r="Z168" i="47" s="1"/>
  <c r="Y167" i="47"/>
  <c r="Y168" i="47" s="1"/>
  <c r="X167" i="47"/>
  <c r="X168" i="47" s="1"/>
  <c r="W167" i="47"/>
  <c r="W168" i="47" s="1"/>
  <c r="V167" i="47"/>
  <c r="V168" i="47" s="1"/>
  <c r="S167" i="47"/>
  <c r="S168" i="47" s="1"/>
  <c r="R167" i="47"/>
  <c r="R168" i="47" s="1"/>
  <c r="Q167" i="47"/>
  <c r="Q168" i="47" s="1"/>
  <c r="P167" i="47"/>
  <c r="P168" i="47" s="1"/>
  <c r="O167" i="47"/>
  <c r="O168" i="47" s="1"/>
  <c r="M167" i="47"/>
  <c r="M168" i="47" s="1"/>
  <c r="L167" i="47"/>
  <c r="L168" i="47" s="1"/>
  <c r="K167" i="47"/>
  <c r="K168" i="47" s="1"/>
  <c r="H167" i="47"/>
  <c r="H168" i="47" s="1"/>
  <c r="G167" i="47"/>
  <c r="G168" i="47" s="1"/>
  <c r="F167" i="47"/>
  <c r="F168" i="47" s="1"/>
  <c r="E167" i="47"/>
  <c r="E168" i="47" s="1"/>
  <c r="D167" i="47"/>
  <c r="D168" i="47" s="1"/>
  <c r="AF166" i="47"/>
  <c r="AE165" i="47"/>
  <c r="AE166" i="47" s="1"/>
  <c r="AD165" i="47"/>
  <c r="AD166" i="47" s="1"/>
  <c r="Y165" i="47"/>
  <c r="Y166" i="47" s="1"/>
  <c r="X165" i="47"/>
  <c r="X166" i="47" s="1"/>
  <c r="W165" i="47"/>
  <c r="W166" i="47" s="1"/>
  <c r="V165" i="47"/>
  <c r="V166" i="47" s="1"/>
  <c r="K165" i="47"/>
  <c r="K166" i="47" s="1"/>
  <c r="E165" i="47"/>
  <c r="E166" i="47" s="1"/>
  <c r="AF163" i="47"/>
  <c r="AF164" i="47" s="1"/>
  <c r="AE163" i="47"/>
  <c r="AE164" i="47" s="1"/>
  <c r="AD163" i="47"/>
  <c r="AD164" i="47" s="1"/>
  <c r="AC163" i="47"/>
  <c r="AC164" i="47" s="1"/>
  <c r="AA163" i="47"/>
  <c r="AA164" i="47" s="1"/>
  <c r="Z163" i="47"/>
  <c r="Z164" i="47" s="1"/>
  <c r="Y163" i="47"/>
  <c r="Y164" i="47" s="1"/>
  <c r="X163" i="47"/>
  <c r="X164" i="47" s="1"/>
  <c r="W163" i="47"/>
  <c r="W164" i="47" s="1"/>
  <c r="V163" i="47"/>
  <c r="V164" i="47" s="1"/>
  <c r="S163" i="47"/>
  <c r="S164" i="47" s="1"/>
  <c r="R163" i="47"/>
  <c r="R164" i="47" s="1"/>
  <c r="Q163" i="47"/>
  <c r="Q164" i="47" s="1"/>
  <c r="P163" i="47"/>
  <c r="P164" i="47" s="1"/>
  <c r="O163" i="47"/>
  <c r="O164" i="47" s="1"/>
  <c r="M163" i="47"/>
  <c r="M164" i="47" s="1"/>
  <c r="L163" i="47"/>
  <c r="L164" i="47" s="1"/>
  <c r="K163" i="47"/>
  <c r="K164" i="47" s="1"/>
  <c r="H163" i="47"/>
  <c r="H164" i="47" s="1"/>
  <c r="G163" i="47"/>
  <c r="G164" i="47" s="1"/>
  <c r="F163" i="47"/>
  <c r="F164" i="47" s="1"/>
  <c r="E163" i="47"/>
  <c r="E164" i="47" s="1"/>
  <c r="D163" i="47"/>
  <c r="D164" i="47" s="1"/>
  <c r="AF161" i="47"/>
  <c r="AE161" i="47"/>
  <c r="AE162" i="47" s="1"/>
  <c r="AD161" i="47"/>
  <c r="AD162" i="47" s="1"/>
  <c r="AC161" i="47"/>
  <c r="AC162" i="47" s="1"/>
  <c r="Y161" i="47"/>
  <c r="Y162" i="47" s="1"/>
  <c r="X161" i="47"/>
  <c r="X162" i="47" s="1"/>
  <c r="R161" i="47"/>
  <c r="R162" i="47" s="1"/>
  <c r="G161" i="47"/>
  <c r="G162" i="47" s="1"/>
  <c r="E161" i="47"/>
  <c r="E162" i="47" s="1"/>
  <c r="AD159" i="47"/>
  <c r="AD160" i="47" s="1"/>
  <c r="Y159" i="47"/>
  <c r="X159" i="47"/>
  <c r="I159" i="47"/>
  <c r="I160" i="47" s="1"/>
  <c r="E159" i="47"/>
  <c r="E160" i="47" s="1"/>
  <c r="V247" i="47"/>
  <c r="V286" i="47" s="1"/>
  <c r="R247" i="47"/>
  <c r="R286" i="47" s="1"/>
  <c r="Q247" i="47"/>
  <c r="Q286" i="47" s="1"/>
  <c r="P247" i="47"/>
  <c r="P286" i="47" s="1"/>
  <c r="M247" i="47"/>
  <c r="K157" i="47"/>
  <c r="I247" i="47"/>
  <c r="D247" i="47"/>
  <c r="D286" i="47" s="1"/>
  <c r="AF241" i="47"/>
  <c r="AF242" i="47" s="1"/>
  <c r="AE241" i="47"/>
  <c r="AE242" i="47" s="1"/>
  <c r="AD241" i="47"/>
  <c r="AD242" i="47" s="1"/>
  <c r="AC241" i="47"/>
  <c r="AC242" i="47" s="1"/>
  <c r="F247" i="47"/>
  <c r="F252" i="47" s="1"/>
  <c r="E241" i="47"/>
  <c r="E242" i="47" s="1"/>
  <c r="W221" i="47"/>
  <c r="W222" i="47" s="1"/>
  <c r="AF106" i="47"/>
  <c r="AF157" i="47" s="1"/>
  <c r="AE106" i="47"/>
  <c r="N106" i="47"/>
  <c r="I157" i="47"/>
  <c r="I158" i="47" s="1"/>
  <c r="X241" i="47"/>
  <c r="X242" i="47" s="1"/>
  <c r="P241" i="47"/>
  <c r="P242" i="47" s="1"/>
  <c r="M241" i="47"/>
  <c r="M242" i="47" s="1"/>
  <c r="K241" i="47"/>
  <c r="K242" i="47" s="1"/>
  <c r="G241" i="47"/>
  <c r="G242" i="47" s="1"/>
  <c r="S102" i="47"/>
  <c r="M102" i="47"/>
  <c r="L102" i="47"/>
  <c r="K102" i="47"/>
  <c r="D102" i="47"/>
  <c r="AA100" i="47"/>
  <c r="W100" i="47"/>
  <c r="S100" i="47"/>
  <c r="Q100" i="47"/>
  <c r="P100" i="47"/>
  <c r="O100" i="47"/>
  <c r="M100" i="47"/>
  <c r="L100" i="47"/>
  <c r="K100" i="47"/>
  <c r="F100" i="47"/>
  <c r="E100" i="47"/>
  <c r="D100" i="47"/>
  <c r="G237" i="47"/>
  <c r="G238" i="47" s="1"/>
  <c r="AC92" i="47"/>
  <c r="AG92" i="47" s="1"/>
  <c r="K88" i="47"/>
  <c r="AG88" i="47" s="1"/>
  <c r="AC86" i="47"/>
  <c r="Z86" i="47"/>
  <c r="S86" i="47"/>
  <c r="S84" i="47"/>
  <c r="AG84" i="47" s="1"/>
  <c r="S82" i="47"/>
  <c r="AG82" i="47" s="1"/>
  <c r="Q80" i="47"/>
  <c r="O80" i="47"/>
  <c r="M80" i="47"/>
  <c r="L80" i="47"/>
  <c r="K80" i="47"/>
  <c r="G80" i="47"/>
  <c r="F80" i="47"/>
  <c r="E80" i="47"/>
  <c r="S225" i="47"/>
  <c r="G78" i="47"/>
  <c r="AG78" i="47" s="1"/>
  <c r="K223" i="47"/>
  <c r="K224" i="47" s="1"/>
  <c r="AA76" i="47"/>
  <c r="S221" i="47"/>
  <c r="S222" i="47" s="1"/>
  <c r="P74" i="47"/>
  <c r="O74" i="47"/>
  <c r="M74" i="47"/>
  <c r="L74" i="47"/>
  <c r="K74" i="47"/>
  <c r="G74" i="47"/>
  <c r="AA72" i="47"/>
  <c r="Z72" i="47"/>
  <c r="K72" i="47"/>
  <c r="AA70" i="47"/>
  <c r="Z70" i="47"/>
  <c r="S70" i="47"/>
  <c r="Q70" i="47"/>
  <c r="P70" i="47"/>
  <c r="O70" i="47"/>
  <c r="M70" i="47"/>
  <c r="L70" i="47"/>
  <c r="K70" i="47"/>
  <c r="AA68" i="47"/>
  <c r="W68" i="47"/>
  <c r="V68" i="47"/>
  <c r="T68" i="47"/>
  <c r="S68" i="47"/>
  <c r="Q68" i="47"/>
  <c r="P68" i="47"/>
  <c r="O68" i="47"/>
  <c r="M68" i="47"/>
  <c r="L68" i="47"/>
  <c r="K68" i="47"/>
  <c r="F68" i="47"/>
  <c r="E68" i="47"/>
  <c r="D68" i="47"/>
  <c r="H66" i="47"/>
  <c r="AG66" i="47" s="1"/>
  <c r="AF64" i="47"/>
  <c r="AE64" i="47"/>
  <c r="AD64" i="47"/>
  <c r="AC64" i="47"/>
  <c r="AA64" i="47"/>
  <c r="Z64" i="47"/>
  <c r="W64" i="47"/>
  <c r="Q64" i="47"/>
  <c r="P64" i="47"/>
  <c r="O64" i="47"/>
  <c r="M64" i="47"/>
  <c r="L64" i="47"/>
  <c r="K64" i="47"/>
  <c r="H64" i="47"/>
  <c r="F64" i="47"/>
  <c r="E64" i="47"/>
  <c r="D64" i="47"/>
  <c r="H62" i="47"/>
  <c r="F62" i="47"/>
  <c r="E62" i="47"/>
  <c r="D62" i="47"/>
  <c r="AF60" i="47"/>
  <c r="AE60" i="47"/>
  <c r="AD60" i="47"/>
  <c r="AC60" i="47"/>
  <c r="AA60" i="47"/>
  <c r="Z60" i="47"/>
  <c r="S60" i="47"/>
  <c r="Q60" i="47"/>
  <c r="O60" i="47"/>
  <c r="M60" i="47"/>
  <c r="L60" i="47"/>
  <c r="K60" i="47"/>
  <c r="H60" i="47"/>
  <c r="G60" i="47"/>
  <c r="E60" i="47"/>
  <c r="D60" i="47"/>
  <c r="AF58" i="47"/>
  <c r="AE58" i="47"/>
  <c r="AD58" i="47"/>
  <c r="AC58" i="47"/>
  <c r="AA58" i="47"/>
  <c r="Z58" i="47"/>
  <c r="W58" i="47"/>
  <c r="P58" i="47"/>
  <c r="O58" i="47"/>
  <c r="M58" i="47"/>
  <c r="L58" i="47"/>
  <c r="K58" i="47"/>
  <c r="G58" i="47"/>
  <c r="F58" i="47"/>
  <c r="AF55" i="47"/>
  <c r="AF205" i="47" s="1"/>
  <c r="AF206" i="47" s="1"/>
  <c r="AE55" i="47"/>
  <c r="AE205" i="47" s="1"/>
  <c r="AE206" i="47" s="1"/>
  <c r="AD55" i="47"/>
  <c r="AD205" i="47" s="1"/>
  <c r="AD206" i="47" s="1"/>
  <c r="AC55" i="47"/>
  <c r="AA55" i="47"/>
  <c r="AA205" i="47" s="1"/>
  <c r="AA206" i="47" s="1"/>
  <c r="Z55" i="47"/>
  <c r="W55" i="47"/>
  <c r="V55" i="47"/>
  <c r="V106" i="47" s="1"/>
  <c r="S55" i="47"/>
  <c r="S205" i="47" s="1"/>
  <c r="S206" i="47" s="1"/>
  <c r="Q55" i="47"/>
  <c r="P55" i="47"/>
  <c r="O55" i="47"/>
  <c r="O205" i="47" s="1"/>
  <c r="O206" i="47" s="1"/>
  <c r="M55" i="47"/>
  <c r="L55" i="47"/>
  <c r="K54" i="47"/>
  <c r="AG54" i="47" s="1"/>
  <c r="P52" i="47"/>
  <c r="AG52" i="47" s="1"/>
  <c r="AF201" i="47"/>
  <c r="AF202" i="47" s="1"/>
  <c r="AE201" i="47"/>
  <c r="AE202" i="47" s="1"/>
  <c r="AD201" i="47"/>
  <c r="AD202" i="47" s="1"/>
  <c r="AC201" i="47"/>
  <c r="AC202" i="47" s="1"/>
  <c r="W201" i="47"/>
  <c r="W202" i="47" s="1"/>
  <c r="S201" i="47"/>
  <c r="S202" i="47" s="1"/>
  <c r="O201" i="47"/>
  <c r="O202" i="47" s="1"/>
  <c r="AA50" i="47"/>
  <c r="Z50" i="47"/>
  <c r="Y50" i="47"/>
  <c r="X50" i="47"/>
  <c r="W50" i="47"/>
  <c r="V50" i="47"/>
  <c r="AA48" i="47"/>
  <c r="Z48" i="47"/>
  <c r="Y48" i="47"/>
  <c r="X48" i="47"/>
  <c r="W48" i="47"/>
  <c r="V48" i="47"/>
  <c r="AF46" i="47"/>
  <c r="AE46" i="47"/>
  <c r="AD46" i="47"/>
  <c r="AC46" i="47"/>
  <c r="AA46" i="47"/>
  <c r="Z46" i="47"/>
  <c r="Y46" i="47"/>
  <c r="X46" i="47"/>
  <c r="W46" i="47"/>
  <c r="V46" i="47"/>
  <c r="S46" i="47"/>
  <c r="Q46" i="47"/>
  <c r="O46" i="47"/>
  <c r="M46" i="47"/>
  <c r="L46" i="47"/>
  <c r="K46" i="47"/>
  <c r="F46" i="47"/>
  <c r="AF44" i="47"/>
  <c r="AE44" i="47"/>
  <c r="AD44" i="47"/>
  <c r="AC44" i="47"/>
  <c r="AA44" i="47"/>
  <c r="Z44" i="47"/>
  <c r="W44" i="47"/>
  <c r="V44" i="47"/>
  <c r="S44" i="47"/>
  <c r="R44" i="47"/>
  <c r="Q44" i="47"/>
  <c r="P44" i="47"/>
  <c r="O44" i="47"/>
  <c r="N44" i="47"/>
  <c r="M44" i="47"/>
  <c r="L44" i="47"/>
  <c r="K44" i="47"/>
  <c r="G44" i="47"/>
  <c r="E44" i="47"/>
  <c r="D44" i="47"/>
  <c r="AF42" i="47"/>
  <c r="AE42" i="47"/>
  <c r="AD42" i="47"/>
  <c r="AC42" i="47"/>
  <c r="AA42" i="47"/>
  <c r="W42" i="47"/>
  <c r="V42" i="47"/>
  <c r="S42" i="47"/>
  <c r="Q42" i="47"/>
  <c r="P42" i="47"/>
  <c r="O42" i="47"/>
  <c r="L42" i="47"/>
  <c r="K42" i="47"/>
  <c r="H42" i="47"/>
  <c r="G42" i="47"/>
  <c r="F42" i="47"/>
  <c r="E42" i="47"/>
  <c r="D42" i="47"/>
  <c r="AF40" i="47"/>
  <c r="AE40" i="47"/>
  <c r="AD40" i="47"/>
  <c r="AC40" i="47"/>
  <c r="AA40" i="47"/>
  <c r="Z40" i="47"/>
  <c r="W40" i="47"/>
  <c r="V40" i="47"/>
  <c r="S40" i="47"/>
  <c r="Q40" i="47"/>
  <c r="P40" i="47"/>
  <c r="O40" i="47"/>
  <c r="M40" i="47"/>
  <c r="L40" i="47"/>
  <c r="K40" i="47"/>
  <c r="H40" i="47"/>
  <c r="G40" i="47"/>
  <c r="D40" i="47"/>
  <c r="AE38" i="47"/>
  <c r="AD38" i="47"/>
  <c r="AA38" i="47"/>
  <c r="W38" i="47"/>
  <c r="V38" i="47"/>
  <c r="S38" i="47"/>
  <c r="O38" i="47"/>
  <c r="L38" i="47"/>
  <c r="K38" i="47"/>
  <c r="H38" i="47"/>
  <c r="G38" i="47"/>
  <c r="F38" i="47"/>
  <c r="AF36" i="47"/>
  <c r="AE36" i="47"/>
  <c r="AD36" i="47"/>
  <c r="AC36" i="47"/>
  <c r="AA36" i="47"/>
  <c r="W36" i="47"/>
  <c r="V36" i="47"/>
  <c r="S36" i="47"/>
  <c r="Q36" i="47"/>
  <c r="P36" i="47"/>
  <c r="O36" i="47"/>
  <c r="M36" i="47"/>
  <c r="L36" i="47"/>
  <c r="K36" i="47"/>
  <c r="H36" i="47"/>
  <c r="G36" i="47"/>
  <c r="F36" i="47"/>
  <c r="E36" i="47"/>
  <c r="D36" i="47"/>
  <c r="AA34" i="47"/>
  <c r="P34" i="47"/>
  <c r="O34" i="47"/>
  <c r="M34" i="47"/>
  <c r="L34" i="47"/>
  <c r="K34" i="47"/>
  <c r="H34" i="47"/>
  <c r="F34" i="47"/>
  <c r="AF30" i="47"/>
  <c r="AE30" i="47"/>
  <c r="AD30" i="47"/>
  <c r="AC30" i="47"/>
  <c r="AA30" i="47"/>
  <c r="W30" i="47"/>
  <c r="V30" i="47"/>
  <c r="S30" i="47"/>
  <c r="P30" i="47"/>
  <c r="O30" i="47"/>
  <c r="M30" i="47"/>
  <c r="L30" i="47"/>
  <c r="K30" i="47"/>
  <c r="H30" i="47"/>
  <c r="G30" i="47"/>
  <c r="F30" i="47"/>
  <c r="E30" i="47"/>
  <c r="D30" i="47"/>
  <c r="AF28" i="47"/>
  <c r="AE28" i="47"/>
  <c r="AD28" i="47"/>
  <c r="AC28" i="47"/>
  <c r="AA28" i="47"/>
  <c r="W28" i="47"/>
  <c r="O28" i="47"/>
  <c r="L28" i="47"/>
  <c r="H28" i="47"/>
  <c r="G28" i="47"/>
  <c r="P181" i="47"/>
  <c r="P182" i="47" s="1"/>
  <c r="K181" i="47"/>
  <c r="K182" i="47" s="1"/>
  <c r="AF26" i="47"/>
  <c r="AE26" i="47"/>
  <c r="AD26" i="47"/>
  <c r="AC26" i="47"/>
  <c r="AA26" i="47"/>
  <c r="W26" i="47"/>
  <c r="S26" i="47"/>
  <c r="Q26" i="47"/>
  <c r="P26" i="47"/>
  <c r="O26" i="47"/>
  <c r="M26" i="47"/>
  <c r="L26" i="47"/>
  <c r="K26" i="47"/>
  <c r="H26" i="47"/>
  <c r="G26" i="47"/>
  <c r="F26" i="47"/>
  <c r="D26" i="47"/>
  <c r="AF24" i="47"/>
  <c r="AE24" i="47"/>
  <c r="AD24" i="47"/>
  <c r="AC24" i="47"/>
  <c r="AA24" i="47"/>
  <c r="W24" i="47"/>
  <c r="V24" i="47"/>
  <c r="S24" i="47"/>
  <c r="O24" i="47"/>
  <c r="L24" i="47"/>
  <c r="K24" i="47"/>
  <c r="H24" i="47"/>
  <c r="G24" i="47"/>
  <c r="F24" i="47"/>
  <c r="D24" i="47"/>
  <c r="AD22" i="47"/>
  <c r="AA22" i="47"/>
  <c r="W22" i="47"/>
  <c r="V22" i="47"/>
  <c r="S22" i="47"/>
  <c r="O22" i="47"/>
  <c r="H22" i="47"/>
  <c r="F22" i="47"/>
  <c r="D22" i="47"/>
  <c r="AE20" i="47"/>
  <c r="AD20" i="47"/>
  <c r="AC20" i="47"/>
  <c r="AA20" i="47"/>
  <c r="Z20" i="47"/>
  <c r="S20" i="47"/>
  <c r="Q20" i="47"/>
  <c r="O20" i="47"/>
  <c r="M20" i="47"/>
  <c r="L20" i="47"/>
  <c r="K20" i="47"/>
  <c r="G20" i="47"/>
  <c r="F20" i="47"/>
  <c r="E20" i="47"/>
  <c r="D20" i="47"/>
  <c r="AE18" i="47"/>
  <c r="AD18" i="47"/>
  <c r="AA18" i="47"/>
  <c r="Z18" i="47"/>
  <c r="S18" i="47"/>
  <c r="Q18" i="47"/>
  <c r="P18" i="47"/>
  <c r="O18" i="47"/>
  <c r="M18" i="47"/>
  <c r="L18" i="47"/>
  <c r="K18" i="47"/>
  <c r="G18" i="47"/>
  <c r="F18" i="47"/>
  <c r="E18" i="47"/>
  <c r="AD16" i="47"/>
  <c r="AA16" i="47"/>
  <c r="W16" i="47"/>
  <c r="P16" i="47"/>
  <c r="O16" i="47"/>
  <c r="N16" i="47"/>
  <c r="M16" i="47"/>
  <c r="L16" i="47"/>
  <c r="K16" i="47"/>
  <c r="H16" i="47"/>
  <c r="G16" i="47"/>
  <c r="F16" i="47"/>
  <c r="E16" i="47"/>
  <c r="D16" i="47"/>
  <c r="AF14" i="47"/>
  <c r="AE14" i="47"/>
  <c r="AD14" i="47"/>
  <c r="AC14" i="47"/>
  <c r="AA14" i="47"/>
  <c r="Z14" i="47"/>
  <c r="W14" i="47"/>
  <c r="V14" i="47"/>
  <c r="S14" i="47"/>
  <c r="R14" i="47"/>
  <c r="Q14" i="47"/>
  <c r="O14" i="47"/>
  <c r="M14" i="47"/>
  <c r="L14" i="47"/>
  <c r="H14" i="47"/>
  <c r="G14" i="47"/>
  <c r="F14" i="47"/>
  <c r="AE12" i="47"/>
  <c r="AD12" i="47"/>
  <c r="AC12" i="47"/>
  <c r="AA12" i="47"/>
  <c r="W12" i="47"/>
  <c r="E12" i="47"/>
  <c r="D12" i="47"/>
  <c r="AC159" i="47"/>
  <c r="AC160" i="47" s="1"/>
  <c r="AA165" i="47"/>
  <c r="AA166" i="47" s="1"/>
  <c r="Z12" i="47"/>
  <c r="S165" i="47"/>
  <c r="S166" i="47" s="1"/>
  <c r="R165" i="47"/>
  <c r="R166" i="47" s="1"/>
  <c r="Q165" i="47"/>
  <c r="Q166" i="47" s="1"/>
  <c r="P165" i="47"/>
  <c r="P166" i="47" s="1"/>
  <c r="O165" i="47"/>
  <c r="O166" i="47" s="1"/>
  <c r="M165" i="47"/>
  <c r="M166" i="47" s="1"/>
  <c r="L165" i="47"/>
  <c r="L166" i="47" s="1"/>
  <c r="K12" i="47"/>
  <c r="H165" i="47"/>
  <c r="H166" i="47" s="1"/>
  <c r="G159" i="47"/>
  <c r="G160" i="47" s="1"/>
  <c r="F165" i="47"/>
  <c r="F166" i="47" s="1"/>
  <c r="AE10" i="47"/>
  <c r="AD10" i="47"/>
  <c r="AC10" i="47"/>
  <c r="AA10" i="47"/>
  <c r="Z10" i="47"/>
  <c r="W10" i="47"/>
  <c r="V10" i="47"/>
  <c r="S10" i="47"/>
  <c r="Q10" i="47"/>
  <c r="P10" i="47"/>
  <c r="O10" i="47"/>
  <c r="M10" i="47"/>
  <c r="L10" i="47"/>
  <c r="K10" i="47"/>
  <c r="H10" i="47"/>
  <c r="G10" i="47"/>
  <c r="F10" i="47"/>
  <c r="E10" i="47"/>
  <c r="D10" i="47"/>
  <c r="AE8" i="47"/>
  <c r="AD8" i="47"/>
  <c r="AC8" i="47"/>
  <c r="AA8" i="47"/>
  <c r="Z8" i="47"/>
  <c r="Y8" i="47"/>
  <c r="X8" i="47"/>
  <c r="W8" i="47"/>
  <c r="V8" i="47"/>
  <c r="Q8" i="47"/>
  <c r="P8" i="47"/>
  <c r="O8" i="47"/>
  <c r="M8" i="47"/>
  <c r="L8" i="47"/>
  <c r="K8" i="47"/>
  <c r="H8" i="47"/>
  <c r="G8" i="47"/>
  <c r="F8" i="47"/>
  <c r="E8" i="47"/>
  <c r="D8" i="47"/>
  <c r="AE6" i="47"/>
  <c r="AD6" i="47"/>
  <c r="Z6" i="47"/>
  <c r="R6" i="47"/>
  <c r="P6" i="47"/>
  <c r="G6" i="47"/>
  <c r="E6" i="47"/>
  <c r="AA6" i="47"/>
  <c r="Z161" i="47"/>
  <c r="W159" i="47"/>
  <c r="W160" i="47" s="1"/>
  <c r="V161" i="47"/>
  <c r="S161" i="47"/>
  <c r="Q161" i="47"/>
  <c r="P161" i="47"/>
  <c r="O161" i="47"/>
  <c r="M161" i="47"/>
  <c r="L161" i="47"/>
  <c r="K161" i="47"/>
  <c r="F6" i="47"/>
  <c r="D6" i="47"/>
  <c r="AE4" i="47"/>
  <c r="AD4" i="47"/>
  <c r="AA4" i="47"/>
  <c r="W4" i="47"/>
  <c r="V4" i="47"/>
  <c r="S4" i="47"/>
  <c r="R4" i="47"/>
  <c r="Q4" i="47"/>
  <c r="P4" i="47"/>
  <c r="O4" i="47"/>
  <c r="M4" i="47"/>
  <c r="L4" i="47"/>
  <c r="K4" i="47"/>
  <c r="H4" i="47"/>
  <c r="G4" i="47"/>
  <c r="F4" i="47"/>
  <c r="E4" i="47"/>
  <c r="D4" i="47"/>
  <c r="G14" i="38"/>
  <c r="AG76" i="47" l="1"/>
  <c r="AG62" i="47"/>
  <c r="AG74" i="47"/>
  <c r="Z205" i="47"/>
  <c r="Z206" i="47" s="1"/>
  <c r="Z106" i="47"/>
  <c r="AG50" i="47"/>
  <c r="AG102" i="47"/>
  <c r="AG34" i="47"/>
  <c r="AC205" i="47"/>
  <c r="AC206" i="47" s="1"/>
  <c r="AC106" i="47"/>
  <c r="AC157" i="47" s="1"/>
  <c r="AG40" i="47"/>
  <c r="AG24" i="47"/>
  <c r="AG48" i="47"/>
  <c r="AG28" i="47"/>
  <c r="AG10" i="47"/>
  <c r="L205" i="47"/>
  <c r="L206" i="47" s="1"/>
  <c r="AG55" i="47"/>
  <c r="AG64" i="47"/>
  <c r="AG70" i="47"/>
  <c r="AG46" i="47"/>
  <c r="AG68" i="47"/>
  <c r="AG86" i="47"/>
  <c r="AG36" i="47"/>
  <c r="AG22" i="47"/>
  <c r="AG42" i="47"/>
  <c r="AG14" i="47"/>
  <c r="AG38" i="47"/>
  <c r="AG44" i="47"/>
  <c r="AG18" i="47"/>
  <c r="W205" i="47"/>
  <c r="W206" i="47" s="1"/>
  <c r="W106" i="47"/>
  <c r="W157" i="47" s="1"/>
  <c r="AG26" i="47"/>
  <c r="AG58" i="47"/>
  <c r="AG80" i="47"/>
  <c r="AG4" i="47"/>
  <c r="AG16" i="47"/>
  <c r="AG30" i="47"/>
  <c r="AG72" i="47"/>
  <c r="AG60" i="47"/>
  <c r="AG8" i="47"/>
  <c r="M205" i="47"/>
  <c r="M206" i="47" s="1"/>
  <c r="M106" i="47"/>
  <c r="P205" i="47"/>
  <c r="P206" i="47" s="1"/>
  <c r="P106" i="47"/>
  <c r="P157" i="47" s="1"/>
  <c r="P158" i="47" s="1"/>
  <c r="Q205" i="47"/>
  <c r="Q206" i="47" s="1"/>
  <c r="Q106" i="47"/>
  <c r="Q157" i="47" s="1"/>
  <c r="Q158" i="47" s="1"/>
  <c r="O247" i="47"/>
  <c r="O286" i="47" s="1"/>
  <c r="D9" i="48"/>
  <c r="I8" i="48"/>
  <c r="I9" i="48" s="1"/>
  <c r="AG190" i="47"/>
  <c r="R157" i="47"/>
  <c r="F158" i="47"/>
  <c r="AG185" i="47"/>
  <c r="AG186" i="47" s="1"/>
  <c r="S106" i="47"/>
  <c r="AG187" i="47"/>
  <c r="AG188" i="47" s="1"/>
  <c r="D158" i="47"/>
  <c r="AE157" i="47"/>
  <c r="AE158" i="47" s="1"/>
  <c r="AG211" i="47"/>
  <c r="AG212" i="47" s="1"/>
  <c r="N243" i="47"/>
  <c r="N245" i="47" s="1"/>
  <c r="N246" i="47" s="1"/>
  <c r="D188" i="47"/>
  <c r="AG191" i="47"/>
  <c r="AG192" i="47" s="1"/>
  <c r="K158" i="47"/>
  <c r="V157" i="47"/>
  <c r="V158" i="47" s="1"/>
  <c r="W241" i="47"/>
  <c r="W242" i="47" s="1"/>
  <c r="G100" i="47"/>
  <c r="AG100" i="47" s="1"/>
  <c r="AG175" i="47"/>
  <c r="AG176" i="47" s="1"/>
  <c r="D176" i="47"/>
  <c r="N170" i="47"/>
  <c r="AF243" i="47"/>
  <c r="L12" i="47"/>
  <c r="O12" i="47"/>
  <c r="Q12" i="47"/>
  <c r="AF162" i="47"/>
  <c r="N157" i="47"/>
  <c r="N158" i="47" s="1"/>
  <c r="K159" i="47"/>
  <c r="K160" i="47" s="1"/>
  <c r="W6" i="47"/>
  <c r="X157" i="47"/>
  <c r="X158" i="47" s="1"/>
  <c r="AA158" i="47"/>
  <c r="W161" i="47"/>
  <c r="W162" i="47" s="1"/>
  <c r="V162" i="47"/>
  <c r="Z162" i="47"/>
  <c r="Y247" i="47"/>
  <c r="Y286" i="47" s="1"/>
  <c r="AC221" i="47"/>
  <c r="AC222" i="47" s="1"/>
  <c r="H159" i="47"/>
  <c r="H160" i="47" s="1"/>
  <c r="H161" i="47"/>
  <c r="H6" i="47"/>
  <c r="L241" i="47"/>
  <c r="L242" i="47" s="1"/>
  <c r="L162" i="47"/>
  <c r="D165" i="47"/>
  <c r="K162" i="47"/>
  <c r="K243" i="47"/>
  <c r="M162" i="47"/>
  <c r="Z157" i="47"/>
  <c r="Z158" i="47" s="1"/>
  <c r="P162" i="47"/>
  <c r="F286" i="47"/>
  <c r="O243" i="47"/>
  <c r="O162" i="47"/>
  <c r="Q162" i="47"/>
  <c r="G157" i="47"/>
  <c r="G158" i="47" s="1"/>
  <c r="S162" i="47"/>
  <c r="AC225" i="47"/>
  <c r="L106" i="47"/>
  <c r="L159" i="47"/>
  <c r="L160" i="47" s="1"/>
  <c r="P173" i="47"/>
  <c r="P174" i="47" s="1"/>
  <c r="S181" i="47"/>
  <c r="S182" i="47" s="1"/>
  <c r="K6" i="47"/>
  <c r="F12" i="47"/>
  <c r="M157" i="47"/>
  <c r="M158" i="47" s="1"/>
  <c r="M159" i="47"/>
  <c r="M160" i="47" s="1"/>
  <c r="D161" i="47"/>
  <c r="AG193" i="47"/>
  <c r="AG194" i="47" s="1"/>
  <c r="V205" i="47"/>
  <c r="V206" i="47" s="1"/>
  <c r="S241" i="47"/>
  <c r="S242" i="47" s="1"/>
  <c r="S247" i="47"/>
  <c r="L6" i="47"/>
  <c r="G12" i="47"/>
  <c r="O159" i="47"/>
  <c r="O160" i="47" s="1"/>
  <c r="Z165" i="47"/>
  <c r="Z166" i="47" s="1"/>
  <c r="V241" i="47"/>
  <c r="V242" i="47" s="1"/>
  <c r="M6" i="47"/>
  <c r="O106" i="47"/>
  <c r="P159" i="47"/>
  <c r="P160" i="47" s="1"/>
  <c r="F161" i="47"/>
  <c r="AA161" i="47"/>
  <c r="X243" i="47"/>
  <c r="O6" i="47"/>
  <c r="Q159" i="47"/>
  <c r="Q160" i="47" s="1"/>
  <c r="G165" i="47"/>
  <c r="G166" i="47" s="1"/>
  <c r="AC165" i="47"/>
  <c r="AC166" i="47" s="1"/>
  <c r="E243" i="47"/>
  <c r="Y243" i="47"/>
  <c r="P20" i="47"/>
  <c r="S159" i="47"/>
  <c r="S160" i="47" s="1"/>
  <c r="W173" i="47"/>
  <c r="W174" i="47" s="1"/>
  <c r="AG195" i="47"/>
  <c r="AG196" i="47" s="1"/>
  <c r="Y241" i="47"/>
  <c r="Y242" i="47" s="1"/>
  <c r="X247" i="47"/>
  <c r="X286" i="47" s="1"/>
  <c r="Q6" i="47"/>
  <c r="M12" i="47"/>
  <c r="V159" i="47"/>
  <c r="V160" i="47" s="1"/>
  <c r="Z241" i="47"/>
  <c r="Z242" i="47" s="1"/>
  <c r="G247" i="47"/>
  <c r="H247" i="47"/>
  <c r="Z247" i="47"/>
  <c r="Z286" i="47" s="1"/>
  <c r="S6" i="47"/>
  <c r="P12" i="47"/>
  <c r="AG163" i="47"/>
  <c r="AG164" i="47" s="1"/>
  <c r="AG167" i="47"/>
  <c r="AG168" i="47" s="1"/>
  <c r="AD243" i="47"/>
  <c r="AA247" i="47"/>
  <c r="AA286" i="47" s="1"/>
  <c r="V6" i="47"/>
  <c r="W20" i="47"/>
  <c r="D159" i="47"/>
  <c r="AG169" i="47"/>
  <c r="AG170" i="47" s="1"/>
  <c r="AG197" i="47"/>
  <c r="AG198" i="47" s="1"/>
  <c r="AE243" i="47"/>
  <c r="K286" i="47"/>
  <c r="S12" i="47"/>
  <c r="AA159" i="47"/>
  <c r="AA160" i="47" s="1"/>
  <c r="AG177" i="47"/>
  <c r="AG178" i="47" s="1"/>
  <c r="AG179" i="47"/>
  <c r="AG180" i="47" s="1"/>
  <c r="M201" i="47"/>
  <c r="M202" i="47" s="1"/>
  <c r="F159" i="47"/>
  <c r="F160" i="47" s="1"/>
  <c r="AG171" i="47"/>
  <c r="AG172" i="47" s="1"/>
  <c r="AG199" i="47"/>
  <c r="AG200" i="47" s="1"/>
  <c r="AG207" i="47"/>
  <c r="AG208" i="47" s="1"/>
  <c r="AG237" i="47"/>
  <c r="AG238" i="47" s="1"/>
  <c r="M286" i="47"/>
  <c r="N247" i="47"/>
  <c r="N286" i="47" s="1"/>
  <c r="AG183" i="47"/>
  <c r="AG184" i="47" s="1"/>
  <c r="AG209" i="47"/>
  <c r="AG210" i="47" s="1"/>
  <c r="AD246" i="47" l="1"/>
  <c r="AG156" i="47"/>
  <c r="AK106" i="47"/>
  <c r="AG6" i="47"/>
  <c r="L243" i="47"/>
  <c r="AG12" i="47"/>
  <c r="AG20" i="47"/>
  <c r="Q243" i="47"/>
  <c r="Q245" i="47" s="1"/>
  <c r="Q246" i="47" s="1"/>
  <c r="AG106" i="47"/>
  <c r="AJ106" i="47" s="1"/>
  <c r="AC246" i="47"/>
  <c r="R158" i="47"/>
  <c r="H252" i="47"/>
  <c r="H286" i="47" s="1"/>
  <c r="G252" i="47"/>
  <c r="S157" i="47"/>
  <c r="O157" i="47"/>
  <c r="O158" i="47" s="1"/>
  <c r="S286" i="47"/>
  <c r="AE246" i="47"/>
  <c r="AE247" i="47"/>
  <c r="AE286" i="47" s="1"/>
  <c r="AD244" i="47"/>
  <c r="AD247" i="47"/>
  <c r="AD286" i="47" s="1"/>
  <c r="E157" i="47"/>
  <c r="E158" i="47" s="1"/>
  <c r="AC247" i="47"/>
  <c r="AC286" i="47" s="1"/>
  <c r="G243" i="47"/>
  <c r="G245" i="47" s="1"/>
  <c r="G246" i="47" s="1"/>
  <c r="S243" i="47"/>
  <c r="S245" i="47" s="1"/>
  <c r="S246" i="47" s="1"/>
  <c r="AC243" i="47"/>
  <c r="AC244" i="47" s="1"/>
  <c r="N244" i="47"/>
  <c r="P243" i="47"/>
  <c r="P244" i="47" s="1"/>
  <c r="AC158" i="47"/>
  <c r="X244" i="47"/>
  <c r="X245" i="47"/>
  <c r="X246" i="47" s="1"/>
  <c r="L157" i="47"/>
  <c r="L158" i="47" s="1"/>
  <c r="L247" i="47"/>
  <c r="L286" i="47" s="1"/>
  <c r="D162" i="47"/>
  <c r="AG161" i="47"/>
  <c r="AG162" i="47" s="1"/>
  <c r="D243" i="47"/>
  <c r="AH106" i="47"/>
  <c r="AF158" i="47"/>
  <c r="AF247" i="47"/>
  <c r="AF286" i="47" s="1"/>
  <c r="AF246" i="47"/>
  <c r="M243" i="47"/>
  <c r="H162" i="47"/>
  <c r="H243" i="47"/>
  <c r="K245" i="47"/>
  <c r="K246" i="47" s="1"/>
  <c r="K244" i="47"/>
  <c r="AA162" i="47"/>
  <c r="AA243" i="47"/>
  <c r="W243" i="47"/>
  <c r="Y244" i="47"/>
  <c r="Y245" i="47"/>
  <c r="Y246" i="47" s="1"/>
  <c r="Z243" i="47"/>
  <c r="E245" i="47"/>
  <c r="E246" i="47" s="1"/>
  <c r="E244" i="47"/>
  <c r="F162" i="47"/>
  <c r="F243" i="47"/>
  <c r="AG205" i="47"/>
  <c r="AG206" i="47" s="1"/>
  <c r="D166" i="47"/>
  <c r="AG165" i="47"/>
  <c r="AG166" i="47" s="1"/>
  <c r="V243" i="47"/>
  <c r="AG201" i="47"/>
  <c r="AG202" i="47" s="1"/>
  <c r="D160" i="47"/>
  <c r="AG159" i="47"/>
  <c r="AG160" i="47" s="1"/>
  <c r="O244" i="47"/>
  <c r="O245" i="47"/>
  <c r="O246" i="47" s="1"/>
  <c r="W158" i="47"/>
  <c r="W247" i="47"/>
  <c r="W286" i="47" s="1"/>
  <c r="L245" i="47"/>
  <c r="L246" i="47" s="1"/>
  <c r="L244" i="47"/>
  <c r="AG181" i="47"/>
  <c r="AG182" i="47" s="1"/>
  <c r="AG173" i="47"/>
  <c r="AG174" i="47" s="1"/>
  <c r="Y292" i="47" l="1"/>
  <c r="AD158" i="47"/>
  <c r="AG157" i="47"/>
  <c r="AG158" i="47" s="1"/>
  <c r="Q244" i="47"/>
  <c r="AH252" i="47"/>
  <c r="I260" i="47"/>
  <c r="I286" i="47" s="1"/>
  <c r="D288" i="47" s="1"/>
  <c r="G286" i="47"/>
  <c r="S158" i="47"/>
  <c r="G244" i="47"/>
  <c r="P245" i="47"/>
  <c r="P246" i="47" s="1"/>
  <c r="S244" i="47"/>
  <c r="W244" i="47"/>
  <c r="W245" i="47"/>
  <c r="W246" i="47" s="1"/>
  <c r="AH243" i="47"/>
  <c r="AI243" i="47" s="1"/>
  <c r="AA245" i="47"/>
  <c r="AA246" i="47" s="1"/>
  <c r="AA244" i="47"/>
  <c r="V244" i="47"/>
  <c r="V245" i="47"/>
  <c r="V246" i="47" s="1"/>
  <c r="H245" i="47"/>
  <c r="H246" i="47" s="1"/>
  <c r="H244" i="47"/>
  <c r="Z245" i="47"/>
  <c r="Z246" i="47" s="1"/>
  <c r="Z244" i="47"/>
  <c r="D244" i="47"/>
  <c r="AG243" i="47"/>
  <c r="AG244" i="47" s="1"/>
  <c r="D245" i="47"/>
  <c r="F245" i="47"/>
  <c r="F246" i="47" s="1"/>
  <c r="F244" i="47"/>
  <c r="M245" i="47"/>
  <c r="M246" i="47" s="1"/>
  <c r="M244" i="47"/>
  <c r="D90" i="37"/>
  <c r="D81" i="37"/>
  <c r="D83" i="37"/>
  <c r="D87" i="37"/>
  <c r="D89" i="37"/>
  <c r="D15" i="37"/>
  <c r="D7" i="37"/>
  <c r="D6" i="46"/>
  <c r="D38" i="46"/>
  <c r="D16" i="46"/>
  <c r="D8" i="46"/>
  <c r="D10" i="46"/>
  <c r="D11" i="46"/>
  <c r="R295" i="47" l="1"/>
  <c r="D290" i="47"/>
  <c r="D246" i="47"/>
  <c r="AG245" i="47"/>
  <c r="AG246" i="47" s="1"/>
  <c r="H294" i="47" l="1"/>
  <c r="D4" i="46" l="1"/>
  <c r="D3" i="46"/>
  <c r="D12" i="46" l="1"/>
  <c r="D13" i="46" s="1"/>
  <c r="G7" i="38"/>
  <c r="D14" i="46" l="1"/>
  <c r="D15" i="46" s="1"/>
  <c r="D136" i="43" l="1"/>
  <c r="D139" i="43"/>
  <c r="D134" i="43"/>
  <c r="D88" i="43"/>
  <c r="D80" i="43"/>
  <c r="D58" i="43"/>
  <c r="H227" i="43" l="1"/>
  <c r="D216" i="43"/>
  <c r="D217" i="43" s="1"/>
  <c r="E214" i="43"/>
  <c r="E215" i="43" s="1"/>
  <c r="D214" i="43"/>
  <c r="D215" i="43" s="1"/>
  <c r="F212" i="43"/>
  <c r="E212" i="43"/>
  <c r="E213" i="43" s="1"/>
  <c r="D212" i="43"/>
  <c r="D213" i="43" s="1"/>
  <c r="E202" i="43"/>
  <c r="E203" i="43" s="1"/>
  <c r="D202" i="43"/>
  <c r="D203" i="43" s="1"/>
  <c r="E200" i="43"/>
  <c r="E201" i="43" s="1"/>
  <c r="D200" i="43"/>
  <c r="D201" i="43" s="1"/>
  <c r="E194" i="43"/>
  <c r="E195" i="43" s="1"/>
  <c r="D194" i="43"/>
  <c r="D195" i="43" s="1"/>
  <c r="F192" i="43"/>
  <c r="F193" i="43" s="1"/>
  <c r="F188" i="43"/>
  <c r="F189" i="43" s="1"/>
  <c r="F186" i="43"/>
  <c r="F187" i="43" s="1"/>
  <c r="E186" i="43"/>
  <c r="E187" i="43" s="1"/>
  <c r="D186" i="43"/>
  <c r="D187" i="43" s="1"/>
  <c r="F184" i="43"/>
  <c r="F185" i="43" s="1"/>
  <c r="F182" i="43"/>
  <c r="F183" i="43" s="1"/>
  <c r="F178" i="43"/>
  <c r="F179" i="43" s="1"/>
  <c r="F176" i="43"/>
  <c r="F177" i="43" s="1"/>
  <c r="F174" i="43"/>
  <c r="F175" i="43" s="1"/>
  <c r="E174" i="43"/>
  <c r="E175" i="43" s="1"/>
  <c r="D174" i="43"/>
  <c r="D175" i="43" s="1"/>
  <c r="F172" i="43"/>
  <c r="F173" i="43" s="1"/>
  <c r="E172" i="43"/>
  <c r="E173" i="43" s="1"/>
  <c r="D172" i="43"/>
  <c r="D173" i="43" s="1"/>
  <c r="F170" i="43"/>
  <c r="F171" i="43" s="1"/>
  <c r="E170" i="43"/>
  <c r="E171" i="43" s="1"/>
  <c r="D170" i="43"/>
  <c r="D171" i="43" s="1"/>
  <c r="F168" i="43"/>
  <c r="F169" i="43" s="1"/>
  <c r="E168" i="43"/>
  <c r="E169" i="43" s="1"/>
  <c r="D168" i="43"/>
  <c r="D169" i="43" s="1"/>
  <c r="G166" i="43"/>
  <c r="F164" i="43"/>
  <c r="F165" i="43" s="1"/>
  <c r="E164" i="43"/>
  <c r="E165" i="43" s="1"/>
  <c r="D164" i="43"/>
  <c r="D165" i="43" s="1"/>
  <c r="F162" i="43"/>
  <c r="F163" i="43" s="1"/>
  <c r="E162" i="43"/>
  <c r="E163" i="43" s="1"/>
  <c r="D162" i="43"/>
  <c r="D163" i="43" s="1"/>
  <c r="F160" i="43"/>
  <c r="F161" i="43" s="1"/>
  <c r="E160" i="43"/>
  <c r="E161" i="43" s="1"/>
  <c r="D160" i="43"/>
  <c r="D161" i="43" s="1"/>
  <c r="F159" i="43"/>
  <c r="F158" i="43"/>
  <c r="E158" i="43"/>
  <c r="E159" i="43" s="1"/>
  <c r="D158" i="43"/>
  <c r="D159" i="43" s="1"/>
  <c r="F156" i="43"/>
  <c r="F157" i="43" s="1"/>
  <c r="E156" i="43"/>
  <c r="E157" i="43" s="1"/>
  <c r="D156" i="43"/>
  <c r="D157" i="43" s="1"/>
  <c r="F154" i="43"/>
  <c r="F155" i="43" s="1"/>
  <c r="E154" i="43"/>
  <c r="E155" i="43" s="1"/>
  <c r="D154" i="43"/>
  <c r="D155" i="43" s="1"/>
  <c r="F152" i="43"/>
  <c r="F153" i="43" s="1"/>
  <c r="E152" i="43"/>
  <c r="E153" i="43" s="1"/>
  <c r="D152" i="43"/>
  <c r="D153" i="43" s="1"/>
  <c r="F150" i="43"/>
  <c r="F151" i="43" s="1"/>
  <c r="E150" i="43"/>
  <c r="E151" i="43" s="1"/>
  <c r="D150" i="43"/>
  <c r="D151" i="43" s="1"/>
  <c r="F148" i="43"/>
  <c r="F149" i="43" s="1"/>
  <c r="E148" i="43"/>
  <c r="E149" i="43" s="1"/>
  <c r="D148" i="43"/>
  <c r="D149" i="43" s="1"/>
  <c r="F146" i="43"/>
  <c r="F147" i="43" s="1"/>
  <c r="E146" i="43"/>
  <c r="E147" i="43" s="1"/>
  <c r="D146" i="43"/>
  <c r="F144" i="43"/>
  <c r="F145" i="43" s="1"/>
  <c r="E144" i="43"/>
  <c r="E145" i="43" s="1"/>
  <c r="D144" i="43"/>
  <c r="D145" i="43" s="1"/>
  <c r="E142" i="43"/>
  <c r="E143" i="43" s="1"/>
  <c r="F140" i="43"/>
  <c r="F141" i="43" s="1"/>
  <c r="E140" i="43"/>
  <c r="E141" i="43" s="1"/>
  <c r="D140" i="43"/>
  <c r="E138" i="43"/>
  <c r="E136" i="43"/>
  <c r="E137" i="43" s="1"/>
  <c r="D133" i="43"/>
  <c r="F132" i="43"/>
  <c r="F133" i="43" s="1"/>
  <c r="E133" i="43"/>
  <c r="G131" i="43"/>
  <c r="G130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2" i="43"/>
  <c r="G91" i="43"/>
  <c r="G90" i="43"/>
  <c r="G89" i="43"/>
  <c r="K88" i="43"/>
  <c r="F88" i="43"/>
  <c r="G87" i="43"/>
  <c r="F80" i="43"/>
  <c r="E80" i="43"/>
  <c r="G79" i="43"/>
  <c r="G78" i="43"/>
  <c r="G77" i="43"/>
  <c r="G76" i="43"/>
  <c r="G74" i="43"/>
  <c r="G73" i="43"/>
  <c r="D72" i="43"/>
  <c r="G72" i="43" s="1"/>
  <c r="G71" i="43"/>
  <c r="G70" i="43"/>
  <c r="G69" i="43"/>
  <c r="F68" i="43"/>
  <c r="E68" i="43"/>
  <c r="D68" i="43"/>
  <c r="G67" i="43"/>
  <c r="G66" i="43"/>
  <c r="G65" i="43"/>
  <c r="F64" i="43"/>
  <c r="E64" i="43"/>
  <c r="D64" i="43"/>
  <c r="G63" i="43"/>
  <c r="F62" i="43"/>
  <c r="E62" i="43"/>
  <c r="D62" i="43"/>
  <c r="G61" i="43"/>
  <c r="E60" i="43"/>
  <c r="D60" i="43"/>
  <c r="G59" i="43"/>
  <c r="F58" i="43"/>
  <c r="G58" i="43" s="1"/>
  <c r="G57" i="43"/>
  <c r="G53" i="43"/>
  <c r="G51" i="43"/>
  <c r="G47" i="43"/>
  <c r="F46" i="43"/>
  <c r="E46" i="43"/>
  <c r="G45" i="43"/>
  <c r="E44" i="43"/>
  <c r="D44" i="43"/>
  <c r="G43" i="43"/>
  <c r="F42" i="43"/>
  <c r="E42" i="43"/>
  <c r="D42" i="43"/>
  <c r="G41" i="43"/>
  <c r="D40" i="43"/>
  <c r="G40" i="43" s="1"/>
  <c r="G39" i="43"/>
  <c r="G38" i="43"/>
  <c r="F38" i="43"/>
  <c r="G37" i="43"/>
  <c r="F36" i="43"/>
  <c r="E36" i="43"/>
  <c r="D36" i="43"/>
  <c r="G35" i="43"/>
  <c r="F34" i="43"/>
  <c r="G34" i="43" s="1"/>
  <c r="G33" i="43"/>
  <c r="F30" i="43"/>
  <c r="E30" i="43"/>
  <c r="D30" i="43"/>
  <c r="G29" i="43"/>
  <c r="G28" i="43"/>
  <c r="F26" i="43"/>
  <c r="D26" i="43"/>
  <c r="G25" i="43"/>
  <c r="F24" i="43"/>
  <c r="D24" i="43"/>
  <c r="G23" i="43"/>
  <c r="F22" i="43"/>
  <c r="D22" i="43"/>
  <c r="G21" i="43"/>
  <c r="F20" i="43"/>
  <c r="E20" i="43"/>
  <c r="D20" i="43"/>
  <c r="G19" i="43"/>
  <c r="F18" i="43"/>
  <c r="E18" i="43"/>
  <c r="D18" i="43"/>
  <c r="G17" i="43"/>
  <c r="F16" i="43"/>
  <c r="E16" i="43"/>
  <c r="D16" i="43"/>
  <c r="G15" i="43"/>
  <c r="F14" i="43"/>
  <c r="G14" i="43" s="1"/>
  <c r="G13" i="43"/>
  <c r="E12" i="43"/>
  <c r="F11" i="43"/>
  <c r="F142" i="43" s="1"/>
  <c r="F143" i="43" s="1"/>
  <c r="D11" i="43"/>
  <c r="D142" i="43" s="1"/>
  <c r="F10" i="43"/>
  <c r="E10" i="43"/>
  <c r="D10" i="43"/>
  <c r="G10" i="43" s="1"/>
  <c r="H9" i="43"/>
  <c r="G9" i="43"/>
  <c r="F8" i="43"/>
  <c r="E8" i="43"/>
  <c r="D8" i="43"/>
  <c r="H7" i="43"/>
  <c r="G7" i="43"/>
  <c r="E6" i="43"/>
  <c r="F5" i="43"/>
  <c r="F6" i="43" s="1"/>
  <c r="D5" i="43"/>
  <c r="G5" i="43" s="1"/>
  <c r="F4" i="43"/>
  <c r="E4" i="43"/>
  <c r="D4" i="43"/>
  <c r="G3" i="43"/>
  <c r="G5" i="38"/>
  <c r="G8" i="38" s="1"/>
  <c r="G9" i="38" s="1"/>
  <c r="E222" i="43" l="1"/>
  <c r="E134" i="43"/>
  <c r="G22" i="43"/>
  <c r="G68" i="43"/>
  <c r="G167" i="43"/>
  <c r="G42" i="43"/>
  <c r="G44" i="43"/>
  <c r="G62" i="43"/>
  <c r="G146" i="43"/>
  <c r="G147" i="43" s="1"/>
  <c r="G16" i="43"/>
  <c r="G8" i="43"/>
  <c r="G18" i="43"/>
  <c r="G26" i="43"/>
  <c r="G60" i="43"/>
  <c r="D147" i="43"/>
  <c r="G4" i="43"/>
  <c r="G30" i="43"/>
  <c r="G162" i="43"/>
  <c r="G163" i="43" s="1"/>
  <c r="F136" i="43"/>
  <c r="F137" i="43" s="1"/>
  <c r="H88" i="43"/>
  <c r="G46" i="43"/>
  <c r="G36" i="43"/>
  <c r="G64" i="43"/>
  <c r="G24" i="43"/>
  <c r="D143" i="43"/>
  <c r="G20" i="43"/>
  <c r="F222" i="43"/>
  <c r="F134" i="43"/>
  <c r="F135" i="43" s="1"/>
  <c r="F138" i="43"/>
  <c r="G11" i="43"/>
  <c r="G178" i="43"/>
  <c r="G179" i="43" s="1"/>
  <c r="D12" i="43"/>
  <c r="F12" i="43"/>
  <c r="G164" i="43"/>
  <c r="G165" i="43" s="1"/>
  <c r="G55" i="43"/>
  <c r="H132" i="43"/>
  <c r="H133" i="43" s="1"/>
  <c r="D141" i="43"/>
  <c r="G140" i="43"/>
  <c r="G141" i="43" s="1"/>
  <c r="G80" i="43"/>
  <c r="D222" i="43"/>
  <c r="D261" i="43" s="1"/>
  <c r="G148" i="43"/>
  <c r="G149" i="43" s="1"/>
  <c r="G75" i="43"/>
  <c r="E261" i="43"/>
  <c r="G27" i="43"/>
  <c r="G132" i="43"/>
  <c r="E216" i="43"/>
  <c r="E217" i="43" s="1"/>
  <c r="D138" i="43"/>
  <c r="D6" i="43"/>
  <c r="G6" i="43" s="1"/>
  <c r="E139" i="43"/>
  <c r="E218" i="43"/>
  <c r="G152" i="43"/>
  <c r="G153" i="43" s="1"/>
  <c r="G160" i="43"/>
  <c r="G161" i="43" s="1"/>
  <c r="G172" i="43"/>
  <c r="G173" i="43" s="1"/>
  <c r="G184" i="43"/>
  <c r="G185" i="43" s="1"/>
  <c r="G212" i="43"/>
  <c r="G213" i="43" s="1"/>
  <c r="G186" i="43"/>
  <c r="G187" i="43" s="1"/>
  <c r="G168" i="43"/>
  <c r="G169" i="43" s="1"/>
  <c r="G150" i="43"/>
  <c r="G151" i="43" s="1"/>
  <c r="G154" i="43"/>
  <c r="G155" i="43" s="1"/>
  <c r="G174" i="43"/>
  <c r="G175" i="43" s="1"/>
  <c r="G188" i="43"/>
  <c r="G189" i="43" s="1"/>
  <c r="G156" i="43"/>
  <c r="G157" i="43" s="1"/>
  <c r="G144" i="43"/>
  <c r="G145" i="43" s="1"/>
  <c r="G170" i="43"/>
  <c r="G171" i="43" s="1"/>
  <c r="G176" i="43"/>
  <c r="G177" i="43" s="1"/>
  <c r="G158" i="43"/>
  <c r="G159" i="43" s="1"/>
  <c r="E135" i="43" l="1"/>
  <c r="G133" i="43"/>
  <c r="I132" i="43" s="1"/>
  <c r="F139" i="43"/>
  <c r="F218" i="43"/>
  <c r="D135" i="43"/>
  <c r="G134" i="43"/>
  <c r="G135" i="43" s="1"/>
  <c r="D137" i="43"/>
  <c r="G136" i="43"/>
  <c r="G137" i="43" s="1"/>
  <c r="G12" i="43"/>
  <c r="D218" i="43"/>
  <c r="G138" i="43"/>
  <c r="G139" i="43" s="1"/>
  <c r="G88" i="43"/>
  <c r="J88" i="43" s="1"/>
  <c r="G182" i="43"/>
  <c r="G183" i="43" s="1"/>
  <c r="E220" i="43"/>
  <c r="E221" i="43" s="1"/>
  <c r="E219" i="43"/>
  <c r="H218" i="43"/>
  <c r="I218" i="43" s="1"/>
  <c r="F261" i="43"/>
  <c r="D263" i="43" s="1"/>
  <c r="D265" i="43" s="1"/>
  <c r="G142" i="43"/>
  <c r="G143" i="43" s="1"/>
  <c r="D268" i="43" l="1"/>
  <c r="D219" i="43"/>
  <c r="G218" i="43"/>
  <c r="G219" i="43" s="1"/>
  <c r="D220" i="43"/>
  <c r="F220" i="43"/>
  <c r="F221" i="43" s="1"/>
  <c r="F219" i="43"/>
  <c r="I133" i="43"/>
  <c r="D221" i="43" l="1"/>
  <c r="G220" i="43"/>
  <c r="G221" i="43" s="1"/>
  <c r="D82" i="37" l="1"/>
  <c r="E6" i="39" l="1"/>
  <c r="H3" i="38"/>
  <c r="E12" i="39" l="1"/>
  <c r="E13" i="39" s="1"/>
  <c r="E31" i="39" l="1"/>
  <c r="F5" i="38"/>
  <c r="E7" i="38"/>
  <c r="F7" i="38"/>
  <c r="F25" i="38" s="1"/>
  <c r="D5" i="38"/>
  <c r="E5" i="38"/>
  <c r="H5" i="38" l="1"/>
  <c r="F8" i="38"/>
  <c r="D85" i="37" l="1"/>
  <c r="D84" i="37"/>
  <c r="D86" i="37" l="1"/>
  <c r="E141" i="37" l="1"/>
  <c r="E142" i="37" s="1"/>
  <c r="F14" i="38" l="1"/>
  <c r="E8" i="39" l="1"/>
  <c r="E3" i="39"/>
  <c r="E11" i="39" s="1"/>
  <c r="E14" i="39" s="1"/>
  <c r="E15" i="39" s="1"/>
  <c r="E4" i="39" l="1"/>
  <c r="D130" i="41"/>
  <c r="D128" i="41"/>
  <c r="D11" i="41" l="1"/>
  <c r="D132" i="41" s="1"/>
  <c r="D133" i="41" s="1"/>
  <c r="D10" i="41"/>
  <c r="Z3" i="41"/>
  <c r="D12" i="41" l="1"/>
  <c r="D68" i="41" l="1"/>
  <c r="D4" i="41" l="1"/>
  <c r="W4" i="41"/>
  <c r="X4" i="41"/>
  <c r="D5" i="41"/>
  <c r="D134" i="41" s="1"/>
  <c r="D6" i="41"/>
  <c r="W6" i="41"/>
  <c r="X6" i="41"/>
  <c r="D8" i="41"/>
  <c r="V8" i="41"/>
  <c r="W8" i="41"/>
  <c r="X8" i="41"/>
  <c r="V10" i="41"/>
  <c r="W10" i="41"/>
  <c r="X10" i="41"/>
  <c r="V12" i="41"/>
  <c r="W12" i="41"/>
  <c r="X12" i="41"/>
  <c r="D14" i="41"/>
  <c r="V14" i="41"/>
  <c r="W14" i="41"/>
  <c r="X14" i="41"/>
  <c r="D16" i="41"/>
  <c r="W16" i="41"/>
  <c r="D18" i="41"/>
  <c r="W18" i="41"/>
  <c r="X18" i="41"/>
  <c r="D20" i="41"/>
  <c r="W20" i="41"/>
  <c r="X20" i="41"/>
  <c r="D22" i="41"/>
  <c r="W22" i="41"/>
  <c r="D24" i="41"/>
  <c r="V24" i="41"/>
  <c r="W24" i="41"/>
  <c r="X24" i="41"/>
  <c r="Y24" i="41"/>
  <c r="D26" i="41"/>
  <c r="V26" i="41"/>
  <c r="W26" i="41"/>
  <c r="X26" i="41"/>
  <c r="Y26" i="41"/>
  <c r="D28" i="41"/>
  <c r="V28" i="41"/>
  <c r="W28" i="41"/>
  <c r="X28" i="41"/>
  <c r="Y28" i="41"/>
  <c r="D30" i="41"/>
  <c r="V30" i="41"/>
  <c r="W30" i="41"/>
  <c r="X30" i="41"/>
  <c r="Y30" i="41"/>
  <c r="D32" i="41"/>
  <c r="D34" i="41"/>
  <c r="D36" i="41"/>
  <c r="V36" i="41"/>
  <c r="W36" i="41"/>
  <c r="X36" i="41"/>
  <c r="Y36" i="41"/>
  <c r="D38" i="41"/>
  <c r="W38" i="41"/>
  <c r="X38" i="41"/>
  <c r="D40" i="41"/>
  <c r="V40" i="41"/>
  <c r="W40" i="41"/>
  <c r="X40" i="41"/>
  <c r="Y40" i="41"/>
  <c r="D42" i="41"/>
  <c r="V42" i="41"/>
  <c r="W42" i="41"/>
  <c r="X42" i="41"/>
  <c r="Y42" i="41"/>
  <c r="D44" i="41"/>
  <c r="D46" i="41"/>
  <c r="V46" i="41"/>
  <c r="W46" i="41"/>
  <c r="X46" i="41"/>
  <c r="Y46" i="41"/>
  <c r="D48" i="41"/>
  <c r="V49" i="41"/>
  <c r="W49" i="41"/>
  <c r="X49" i="41"/>
  <c r="Y49" i="41"/>
  <c r="D50" i="41"/>
  <c r="D52" i="41"/>
  <c r="V53" i="41"/>
  <c r="W53" i="41"/>
  <c r="X53" i="41"/>
  <c r="Y53" i="41"/>
  <c r="D54" i="41"/>
  <c r="D56" i="41"/>
  <c r="V56" i="41"/>
  <c r="W56" i="41"/>
  <c r="X56" i="41"/>
  <c r="Y56" i="41"/>
  <c r="D58" i="41"/>
  <c r="V58" i="41"/>
  <c r="W58" i="41"/>
  <c r="X58" i="41"/>
  <c r="Y58" i="41"/>
  <c r="D60" i="41"/>
  <c r="D62" i="41"/>
  <c r="V62" i="41"/>
  <c r="W62" i="41"/>
  <c r="X62" i="41"/>
  <c r="Y62" i="41"/>
  <c r="D66" i="41"/>
  <c r="D70" i="41"/>
  <c r="D72" i="41"/>
  <c r="D74" i="41"/>
  <c r="D76" i="41"/>
  <c r="D78" i="41"/>
  <c r="D80" i="41"/>
  <c r="D82" i="41"/>
  <c r="D84" i="41"/>
  <c r="D86" i="41"/>
  <c r="D131" i="41" s="1"/>
  <c r="V86" i="41"/>
  <c r="W86" i="41"/>
  <c r="X86" i="41"/>
  <c r="Y86" i="41"/>
  <c r="V126" i="41"/>
  <c r="V128" i="41" s="1"/>
  <c r="W126" i="41"/>
  <c r="W128" i="41" s="1"/>
  <c r="X126" i="41"/>
  <c r="X128" i="41" s="1"/>
  <c r="Y126" i="41"/>
  <c r="Y128" i="41" s="1"/>
  <c r="V132" i="41"/>
  <c r="V133" i="41" s="1"/>
  <c r="W132" i="41"/>
  <c r="W133" i="41" s="1"/>
  <c r="W134" i="41"/>
  <c r="D136" i="41"/>
  <c r="D137" i="41" s="1"/>
  <c r="V136" i="41"/>
  <c r="V137" i="41" s="1"/>
  <c r="W136" i="41"/>
  <c r="W137" i="41" s="1"/>
  <c r="D138" i="41"/>
  <c r="D139" i="41" s="1"/>
  <c r="V138" i="41"/>
  <c r="W138" i="41"/>
  <c r="W139" i="41" s="1"/>
  <c r="D140" i="41"/>
  <c r="D141" i="41" s="1"/>
  <c r="W140" i="41"/>
  <c r="W141" i="41"/>
  <c r="D142" i="41"/>
  <c r="D143" i="41" s="1"/>
  <c r="W142" i="41"/>
  <c r="W143" i="41" s="1"/>
  <c r="D144" i="41"/>
  <c r="W144" i="41"/>
  <c r="W145" i="41" s="1"/>
  <c r="D145" i="41"/>
  <c r="D146" i="41"/>
  <c r="W146" i="41"/>
  <c r="W147" i="41" s="1"/>
  <c r="D148" i="41"/>
  <c r="W148" i="41"/>
  <c r="D149" i="41"/>
  <c r="W149" i="41"/>
  <c r="D150" i="41"/>
  <c r="D151" i="41" s="1"/>
  <c r="W150" i="41"/>
  <c r="W151" i="41" s="1"/>
  <c r="D152" i="41"/>
  <c r="D153" i="41" s="1"/>
  <c r="W152" i="41"/>
  <c r="W153" i="41"/>
  <c r="D154" i="41"/>
  <c r="D155" i="41" s="1"/>
  <c r="W154" i="41"/>
  <c r="W155" i="41" s="1"/>
  <c r="D156" i="41"/>
  <c r="D157" i="41" s="1"/>
  <c r="W156" i="41"/>
  <c r="W157" i="41"/>
  <c r="D158" i="41"/>
  <c r="D159" i="41" s="1"/>
  <c r="W158" i="41"/>
  <c r="W159" i="41" s="1"/>
  <c r="D160" i="41"/>
  <c r="W160" i="41"/>
  <c r="W161" i="41" s="1"/>
  <c r="D161" i="41"/>
  <c r="V162" i="41"/>
  <c r="V163" i="41" s="1"/>
  <c r="W162" i="41"/>
  <c r="W163" i="41" s="1"/>
  <c r="D164" i="41"/>
  <c r="D165" i="41" s="1"/>
  <c r="W164" i="41"/>
  <c r="W165" i="41"/>
  <c r="D166" i="41"/>
  <c r="D167" i="41" s="1"/>
  <c r="W166" i="41"/>
  <c r="W167" i="41" s="1"/>
  <c r="D168" i="41"/>
  <c r="W168" i="41"/>
  <c r="D169" i="41"/>
  <c r="W169" i="41"/>
  <c r="D170" i="41"/>
  <c r="W170" i="41"/>
  <c r="W171" i="41" s="1"/>
  <c r="V172" i="41"/>
  <c r="V173" i="41" s="1"/>
  <c r="W172" i="41"/>
  <c r="W173" i="41"/>
  <c r="W174" i="41"/>
  <c r="W175" i="41" s="1"/>
  <c r="V178" i="41"/>
  <c r="V179" i="41" s="1"/>
  <c r="W178" i="41"/>
  <c r="X178" i="41"/>
  <c r="X179" i="41" s="1"/>
  <c r="Y178" i="41"/>
  <c r="W179" i="41"/>
  <c r="Y179" i="41"/>
  <c r="D180" i="41"/>
  <c r="D181" i="41" s="1"/>
  <c r="V180" i="41"/>
  <c r="V181" i="41" s="1"/>
  <c r="W180" i="41"/>
  <c r="W181" i="41" s="1"/>
  <c r="X180" i="41"/>
  <c r="X181" i="41" s="1"/>
  <c r="Y180" i="41"/>
  <c r="Y181" i="41" s="1"/>
  <c r="D182" i="41"/>
  <c r="V182" i="41"/>
  <c r="V183" i="41" s="1"/>
  <c r="W182" i="41"/>
  <c r="W183" i="41" s="1"/>
  <c r="X182" i="41"/>
  <c r="X183" i="41" s="1"/>
  <c r="Y182" i="41"/>
  <c r="D183" i="41"/>
  <c r="V184" i="41"/>
  <c r="W184" i="41"/>
  <c r="W185" i="41" s="1"/>
  <c r="X184" i="41"/>
  <c r="X185" i="41" s="1"/>
  <c r="Y184" i="41"/>
  <c r="Y185" i="41" s="1"/>
  <c r="V185" i="41"/>
  <c r="D186" i="41"/>
  <c r="D187" i="41" s="1"/>
  <c r="D188" i="41"/>
  <c r="D189" i="41" s="1"/>
  <c r="D190" i="41"/>
  <c r="D191" i="41" s="1"/>
  <c r="D192" i="41"/>
  <c r="D193" i="41" s="1"/>
  <c r="D196" i="41"/>
  <c r="D197" i="41"/>
  <c r="D198" i="41"/>
  <c r="D199" i="41" s="1"/>
  <c r="D202" i="41"/>
  <c r="V202" i="41"/>
  <c r="W202" i="41"/>
  <c r="D204" i="41"/>
  <c r="D205" i="41"/>
  <c r="D206" i="41"/>
  <c r="D207" i="41" s="1"/>
  <c r="D210" i="41"/>
  <c r="D249" i="41" s="1"/>
  <c r="AA214" i="41"/>
  <c r="Z163" i="41"/>
  <c r="Z161" i="41"/>
  <c r="Z153" i="41"/>
  <c r="Z151" i="41"/>
  <c r="Z149" i="41"/>
  <c r="Z147" i="41"/>
  <c r="Z145" i="41"/>
  <c r="Z135" i="41"/>
  <c r="Z126" i="41"/>
  <c r="Z125" i="41"/>
  <c r="Z124" i="41"/>
  <c r="Z122" i="41"/>
  <c r="Z121" i="41"/>
  <c r="Z120" i="41"/>
  <c r="Z119" i="41"/>
  <c r="Z118" i="41"/>
  <c r="Z117" i="41"/>
  <c r="Z116" i="41"/>
  <c r="Z115" i="41"/>
  <c r="Z114" i="41"/>
  <c r="Z113" i="41"/>
  <c r="Z112" i="41"/>
  <c r="Z111" i="41"/>
  <c r="Z110" i="41"/>
  <c r="Z109" i="41"/>
  <c r="Z108" i="41"/>
  <c r="Z107" i="41"/>
  <c r="Z106" i="41"/>
  <c r="Z105" i="41"/>
  <c r="Z104" i="41"/>
  <c r="Z103" i="41"/>
  <c r="Z102" i="41"/>
  <c r="Z101" i="41"/>
  <c r="Z100" i="41"/>
  <c r="Z99" i="41"/>
  <c r="Z98" i="41"/>
  <c r="Z97" i="41"/>
  <c r="Z96" i="41"/>
  <c r="Z95" i="41"/>
  <c r="Z94" i="41"/>
  <c r="Z93" i="41"/>
  <c r="Z90" i="41"/>
  <c r="Z89" i="41"/>
  <c r="Z88" i="41"/>
  <c r="Z87" i="41"/>
  <c r="AD86" i="41"/>
  <c r="Z84" i="41"/>
  <c r="Z83" i="41"/>
  <c r="Z78" i="41"/>
  <c r="Z77" i="41"/>
  <c r="Z76" i="41"/>
  <c r="Z75" i="41"/>
  <c r="Z74" i="41"/>
  <c r="Z73" i="41"/>
  <c r="Z72" i="41"/>
  <c r="Z71" i="41"/>
  <c r="Z70" i="41"/>
  <c r="Z69" i="41"/>
  <c r="Z68" i="41"/>
  <c r="Z67" i="41"/>
  <c r="Z66" i="41"/>
  <c r="Z65" i="41"/>
  <c r="Z64" i="41"/>
  <c r="Z63" i="41"/>
  <c r="Z62" i="41"/>
  <c r="Z61" i="41"/>
  <c r="Z60" i="41"/>
  <c r="Z59" i="41"/>
  <c r="Z58" i="41"/>
  <c r="Z57" i="41"/>
  <c r="Z56" i="41"/>
  <c r="Z55" i="41"/>
  <c r="Z53" i="41"/>
  <c r="Z51" i="41"/>
  <c r="Z49" i="41"/>
  <c r="Z47" i="41"/>
  <c r="Z46" i="41"/>
  <c r="Z45" i="41"/>
  <c r="Z44" i="41"/>
  <c r="Z43" i="41"/>
  <c r="Z42" i="41"/>
  <c r="Z41" i="41"/>
  <c r="Z40" i="41"/>
  <c r="Z39" i="41"/>
  <c r="Z38" i="41"/>
  <c r="Z37" i="41"/>
  <c r="Z36" i="41"/>
  <c r="Z35" i="41"/>
  <c r="Z34" i="41"/>
  <c r="Z33" i="41"/>
  <c r="Z30" i="41"/>
  <c r="Z29" i="41"/>
  <c r="Z28" i="41"/>
  <c r="Z27" i="41"/>
  <c r="Z26" i="41"/>
  <c r="Z25" i="41"/>
  <c r="Z24" i="41"/>
  <c r="Z23" i="41"/>
  <c r="Z22" i="41"/>
  <c r="Z21" i="41"/>
  <c r="Z20" i="41"/>
  <c r="Z19" i="41"/>
  <c r="Z18" i="41"/>
  <c r="Z17" i="41"/>
  <c r="Z16" i="41"/>
  <c r="Z15" i="41"/>
  <c r="Z14" i="41"/>
  <c r="Z13" i="41"/>
  <c r="Z11" i="41"/>
  <c r="Z10" i="41"/>
  <c r="Z9" i="41"/>
  <c r="Z8" i="41"/>
  <c r="Z7" i="41"/>
  <c r="Z4" i="41"/>
  <c r="Y130" i="41" l="1"/>
  <c r="Y131" i="41" s="1"/>
  <c r="Y210" i="41"/>
  <c r="Y249" i="41" s="1"/>
  <c r="W208" i="41"/>
  <c r="V208" i="41"/>
  <c r="Y208" i="41"/>
  <c r="Z162" i="41"/>
  <c r="W210" i="41"/>
  <c r="W249" i="41" s="1"/>
  <c r="W130" i="41"/>
  <c r="W131" i="41" s="1"/>
  <c r="D135" i="41"/>
  <c r="D208" i="41"/>
  <c r="D209" i="41" s="1"/>
  <c r="V210" i="41"/>
  <c r="V249" i="41" s="1"/>
  <c r="D251" i="41" s="1"/>
  <c r="D253" i="41" s="1"/>
  <c r="V130" i="41"/>
  <c r="V131" i="41" s="1"/>
  <c r="X210" i="41"/>
  <c r="X249" i="41" s="1"/>
  <c r="X130" i="41"/>
  <c r="X131" i="41" s="1"/>
  <c r="W209" i="41"/>
  <c r="V209" i="41"/>
  <c r="D171" i="41"/>
  <c r="D147" i="41"/>
  <c r="V139" i="41"/>
  <c r="Z136" i="41"/>
  <c r="X208" i="41"/>
  <c r="D203" i="41"/>
  <c r="Y183" i="41"/>
  <c r="Z150" i="41"/>
  <c r="Z146" i="41"/>
  <c r="Z154" i="41"/>
  <c r="Z164" i="41"/>
  <c r="Z152" i="41"/>
  <c r="Z148" i="41"/>
  <c r="Z6" i="41"/>
  <c r="Z86" i="41"/>
  <c r="AC86" i="41" s="1"/>
  <c r="AA86" i="41"/>
  <c r="Z127" i="41"/>
  <c r="AB126" i="41" s="1"/>
  <c r="Z5" i="41"/>
  <c r="Z82" i="41"/>
  <c r="Z133" i="41"/>
  <c r="Z134" i="41" s="1"/>
  <c r="Z157" i="41"/>
  <c r="Z158" i="41" s="1"/>
  <c r="Z181" i="41"/>
  <c r="Z182" i="41" s="1"/>
  <c r="Z141" i="41"/>
  <c r="Z142" i="41" s="1"/>
  <c r="Z183" i="41"/>
  <c r="Z184" i="41" s="1"/>
  <c r="Z171" i="41"/>
  <c r="Z172" i="41" s="1"/>
  <c r="Z173" i="41"/>
  <c r="Z174" i="41" s="1"/>
  <c r="Z201" i="41"/>
  <c r="Z202" i="41" s="1"/>
  <c r="Z81" i="41"/>
  <c r="Z85" i="41"/>
  <c r="Z143" i="41"/>
  <c r="Z144" i="41" s="1"/>
  <c r="Z165" i="41"/>
  <c r="Z166" i="41" s="1"/>
  <c r="Z139" i="41"/>
  <c r="Z140" i="41" s="1"/>
  <c r="Z155" i="41"/>
  <c r="Z156" i="41" s="1"/>
  <c r="Z177" i="41"/>
  <c r="Z178" i="41" s="1"/>
  <c r="Z169" i="41"/>
  <c r="Z170" i="41" s="1"/>
  <c r="Z159" i="41"/>
  <c r="Z160" i="41" s="1"/>
  <c r="Z167" i="41"/>
  <c r="Z168" i="41" s="1"/>
  <c r="Z179" i="41"/>
  <c r="Z180" i="41" s="1"/>
  <c r="D255" i="41" l="1"/>
  <c r="Z207" i="41"/>
  <c r="Z208" i="41" s="1"/>
  <c r="AB127" i="41"/>
  <c r="Z137" i="41"/>
  <c r="Z138" i="41" s="1"/>
  <c r="AA207" i="41"/>
  <c r="AB207" i="41" s="1"/>
  <c r="Z128" i="41"/>
  <c r="Z130" i="41" s="1"/>
  <c r="Z131" i="41"/>
  <c r="Z132" i="41" s="1"/>
  <c r="Z12" i="41"/>
  <c r="D88" i="37" l="1"/>
  <c r="D9" i="39" l="1"/>
  <c r="D10" i="39" s="1"/>
  <c r="D7" i="39"/>
  <c r="D4" i="39"/>
  <c r="C34" i="39"/>
  <c r="F20" i="39"/>
  <c r="E20" i="39"/>
  <c r="D20" i="39"/>
  <c r="J19" i="39"/>
  <c r="J18" i="39"/>
  <c r="J17" i="39"/>
  <c r="J16" i="39"/>
  <c r="J12" i="39"/>
  <c r="F4" i="39"/>
  <c r="J3" i="39"/>
  <c r="G31" i="39" l="1"/>
  <c r="G14" i="39"/>
  <c r="G15" i="39" s="1"/>
  <c r="D11" i="39"/>
  <c r="D8" i="39"/>
  <c r="J4" i="39"/>
  <c r="K4" i="39" s="1"/>
  <c r="J11" i="39"/>
  <c r="D14" i="39"/>
  <c r="F14" i="39"/>
  <c r="F15" i="39" s="1"/>
  <c r="D15" i="39"/>
  <c r="D31" i="39"/>
  <c r="F31" i="39"/>
  <c r="J13" i="39"/>
  <c r="K13" i="39" s="1"/>
  <c r="D35" i="39" l="1"/>
  <c r="J14" i="39"/>
  <c r="J15" i="39" s="1"/>
  <c r="D221" i="37" l="1"/>
  <c r="D141" i="37" l="1"/>
  <c r="D4" i="38" l="1"/>
  <c r="D140" i="37" l="1"/>
  <c r="D115" i="37"/>
  <c r="D97" i="37"/>
  <c r="D17" i="37"/>
  <c r="D76" i="37"/>
  <c r="D74" i="37"/>
  <c r="D69" i="37"/>
  <c r="D71" i="37"/>
  <c r="D77" i="37"/>
  <c r="D78" i="37"/>
  <c r="D79" i="37"/>
  <c r="D91" i="37"/>
  <c r="D127" i="37"/>
  <c r="D128" i="37"/>
  <c r="D129" i="37"/>
  <c r="D130" i="37"/>
  <c r="D131" i="37"/>
  <c r="D132" i="37"/>
  <c r="D72" i="37"/>
  <c r="D92" i="37"/>
  <c r="G4" i="38"/>
  <c r="D80" i="37"/>
  <c r="D61" i="37"/>
  <c r="D63" i="37"/>
  <c r="D67" i="37"/>
  <c r="D65" i="37"/>
  <c r="F4" i="38"/>
  <c r="D7" i="38"/>
  <c r="E25" i="38"/>
  <c r="H10" i="38"/>
  <c r="H11" i="38"/>
  <c r="H12" i="38"/>
  <c r="H13" i="38"/>
  <c r="D14" i="38"/>
  <c r="E14" i="38"/>
  <c r="C28" i="38"/>
  <c r="D3" i="37"/>
  <c r="D9" i="37"/>
  <c r="E9" i="37"/>
  <c r="D13" i="37"/>
  <c r="E7" i="37"/>
  <c r="D21" i="37"/>
  <c r="D19" i="37"/>
  <c r="D23" i="37"/>
  <c r="D27" i="37"/>
  <c r="D25" i="37"/>
  <c r="D33" i="37"/>
  <c r="D35" i="37"/>
  <c r="D29" i="37"/>
  <c r="D39" i="37"/>
  <c r="D41" i="37"/>
  <c r="D37" i="37"/>
  <c r="D45" i="37"/>
  <c r="D47" i="37"/>
  <c r="D93" i="37"/>
  <c r="D57" i="37"/>
  <c r="D53" i="37"/>
  <c r="D59" i="37"/>
  <c r="D66" i="37"/>
  <c r="D121" i="37"/>
  <c r="D100" i="37"/>
  <c r="D104" i="37"/>
  <c r="D103" i="37"/>
  <c r="D106" i="37"/>
  <c r="D105" i="37"/>
  <c r="D107" i="37"/>
  <c r="D109" i="37"/>
  <c r="D133" i="37"/>
  <c r="D222" i="37" s="1"/>
  <c r="D110" i="37"/>
  <c r="D112" i="37"/>
  <c r="D120" i="37"/>
  <c r="D111" i="37"/>
  <c r="D114" i="37"/>
  <c r="D116" i="37"/>
  <c r="D139" i="37"/>
  <c r="D119" i="37"/>
  <c r="D117" i="37"/>
  <c r="D113" i="37"/>
  <c r="D122" i="37"/>
  <c r="D124" i="37"/>
  <c r="D126" i="37"/>
  <c r="D125" i="37"/>
  <c r="D95" i="37"/>
  <c r="D123" i="37"/>
  <c r="D108" i="37"/>
  <c r="D98" i="37"/>
  <c r="D99" i="37"/>
  <c r="H4" i="38" l="1"/>
  <c r="D12" i="37"/>
  <c r="H96" i="37"/>
  <c r="F141" i="37"/>
  <c r="D25" i="38"/>
  <c r="D29" i="38" s="1"/>
  <c r="I7" i="38"/>
  <c r="F9" i="38"/>
  <c r="E96" i="37"/>
  <c r="D94" i="37"/>
  <c r="D62" i="37"/>
  <c r="D70" i="37"/>
  <c r="D163" i="37"/>
  <c r="D164" i="37" s="1"/>
  <c r="D34" i="37"/>
  <c r="D169" i="37"/>
  <c r="D170" i="37" s="1"/>
  <c r="D161" i="37"/>
  <c r="D162" i="37" s="1"/>
  <c r="D159" i="37"/>
  <c r="D160" i="37" s="1"/>
  <c r="D11" i="37"/>
  <c r="D68" i="37"/>
  <c r="D64" i="37"/>
  <c r="D177" i="37"/>
  <c r="D178" i="37" s="1"/>
  <c r="D58" i="37"/>
  <c r="D149" i="37"/>
  <c r="D150" i="37" s="1"/>
  <c r="D4" i="37"/>
  <c r="D44" i="37"/>
  <c r="D153" i="37"/>
  <c r="D154" i="37" s="1"/>
  <c r="D10" i="37"/>
  <c r="D157" i="37"/>
  <c r="D158" i="37" s="1"/>
  <c r="D60" i="37"/>
  <c r="D55" i="37"/>
  <c r="D51" i="37"/>
  <c r="D46" i="37"/>
  <c r="D38" i="37"/>
  <c r="D42" i="37"/>
  <c r="D40" i="37"/>
  <c r="D36" i="37"/>
  <c r="D26" i="37"/>
  <c r="D28" i="37"/>
  <c r="D20" i="37"/>
  <c r="D22" i="37"/>
  <c r="D16" i="37"/>
  <c r="D18" i="37"/>
  <c r="D8" i="37"/>
  <c r="D14" i="37"/>
  <c r="D30" i="37"/>
  <c r="D24" i="37"/>
  <c r="D165" i="37"/>
  <c r="D166" i="37" s="1"/>
  <c r="D195" i="37"/>
  <c r="D196" i="37" s="1"/>
  <c r="D175" i="37"/>
  <c r="D176" i="37" s="1"/>
  <c r="D155" i="37"/>
  <c r="D156" i="37" s="1"/>
  <c r="D171" i="37"/>
  <c r="D172" i="37" s="1"/>
  <c r="D197" i="37"/>
  <c r="D198" i="37" s="1"/>
  <c r="D181" i="37"/>
  <c r="D182" i="37" s="1"/>
  <c r="D5" i="37"/>
  <c r="D167" i="37"/>
  <c r="D168" i="37" s="1"/>
  <c r="D183" i="37"/>
  <c r="D184" i="37" s="1"/>
  <c r="D179" i="37"/>
  <c r="D180" i="37" s="1"/>
  <c r="D173" i="37"/>
  <c r="D174" i="37" s="1"/>
  <c r="D185" i="37"/>
  <c r="D186" i="37" s="1"/>
  <c r="D193" i="37"/>
  <c r="D194" i="37" s="1"/>
  <c r="I4" i="38"/>
  <c r="E8" i="38"/>
  <c r="E9" i="38" s="1"/>
  <c r="D8" i="38"/>
  <c r="D9" i="38" l="1"/>
  <c r="H8" i="38"/>
  <c r="D191" i="37"/>
  <c r="D192" i="37" s="1"/>
  <c r="D187" i="37"/>
  <c r="D188" i="37" s="1"/>
  <c r="D96" i="37"/>
  <c r="G96" i="37" s="1"/>
  <c r="F142" i="37" s="1"/>
  <c r="E227" i="37"/>
  <c r="F227" i="37" s="1"/>
  <c r="D6" i="37"/>
  <c r="H9" i="38"/>
  <c r="D151" i="37"/>
  <c r="D152" i="37" s="1"/>
  <c r="D147" i="37"/>
  <c r="D148" i="37" s="1"/>
  <c r="D145" i="37"/>
  <c r="D146" i="37" s="1"/>
  <c r="D143" i="37" l="1"/>
  <c r="D144" i="37" s="1"/>
  <c r="D227" i="37"/>
  <c r="D228" i="37" s="1"/>
  <c r="D229" i="37" l="1"/>
  <c r="D230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GIGABYTE</author>
  </authors>
  <commentList>
    <comment ref="Q85" authorId="0" shapeId="0" xr:uid="{58F0465D-EC2D-4240-9AAA-1862FB9F54E9}">
      <text>
        <r>
          <rPr>
            <b/>
            <sz val="9"/>
            <color indexed="81"/>
            <rFont val="MS P ゴシック"/>
            <family val="2"/>
            <charset val="204"/>
          </rPr>
          <t>GIGABYTE:</t>
        </r>
        <r>
          <rPr>
            <sz val="9"/>
            <color indexed="81"/>
            <rFont val="MS P ゴシック"/>
            <family val="2"/>
            <charset val="204"/>
          </rPr>
          <t xml:space="preserve">
Natalia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<sst xmlns="http://schemas.openxmlformats.org/spreadsheetml/2006/main" count="1910" uniqueCount="315">
  <si>
    <t>ロイヤルコスメチックス社向け　売上表</t>
    <rPh sb="11" eb="12">
      <t>シャ</t>
    </rPh>
    <rPh sb="12" eb="13">
      <t>ム</t>
    </rPh>
    <rPh sb="15" eb="17">
      <t>ウリアゲ</t>
    </rPh>
    <rPh sb="17" eb="18">
      <t>ヒョウ</t>
    </rPh>
    <phoneticPr fontId="3"/>
  </si>
  <si>
    <t>出荷日</t>
    <rPh sb="0" eb="3">
      <t>シュッカビ</t>
    </rPh>
    <phoneticPr fontId="4"/>
  </si>
  <si>
    <t>合計</t>
    <rPh sb="0" eb="2">
      <t>ゴウケイ</t>
    </rPh>
    <phoneticPr fontId="9"/>
  </si>
  <si>
    <t>仕入</t>
  </si>
  <si>
    <t>FLOUVEIL→
センコン</t>
    <phoneticPr fontId="11"/>
  </si>
  <si>
    <t>Total</t>
    <phoneticPr fontId="4"/>
  </si>
  <si>
    <t>税込</t>
    <rPh sb="0" eb="2">
      <t>ゼイコ</t>
    </rPh>
    <phoneticPr fontId="4"/>
  </si>
  <si>
    <t>センコン→
KS
(FLOUVEIL分）</t>
    <rPh sb="18" eb="19">
      <t>ブン</t>
    </rPh>
    <phoneticPr fontId="4"/>
  </si>
  <si>
    <t>RELENT→
KS</t>
    <phoneticPr fontId="4"/>
  </si>
  <si>
    <t>CBON→
センコン</t>
    <phoneticPr fontId="4"/>
  </si>
  <si>
    <t>センコン→
KS
(C'BON分）</t>
    <rPh sb="15" eb="16">
      <t>ブン</t>
    </rPh>
    <phoneticPr fontId="4"/>
  </si>
  <si>
    <t>Q1st</t>
    <phoneticPr fontId="4"/>
  </si>
  <si>
    <t>ＣＨＡＮＳＯＮ</t>
    <phoneticPr fontId="4"/>
  </si>
  <si>
    <t>HIMELABO</t>
    <phoneticPr fontId="4"/>
  </si>
  <si>
    <t>SUNSORIT</t>
    <phoneticPr fontId="4"/>
  </si>
  <si>
    <t>Kyo Tomo</t>
    <phoneticPr fontId="8"/>
  </si>
  <si>
    <t>COREIN</t>
    <phoneticPr fontId="4"/>
  </si>
  <si>
    <t>ELEGADOLL</t>
    <phoneticPr fontId="4"/>
  </si>
  <si>
    <t>MAYURI</t>
    <phoneticPr fontId="4"/>
  </si>
  <si>
    <t>ATMORE</t>
    <phoneticPr fontId="4"/>
  </si>
  <si>
    <t>MARY PL.</t>
    <phoneticPr fontId="4"/>
  </si>
  <si>
    <t>DIME HEALTH CARE</t>
    <phoneticPr fontId="11"/>
  </si>
  <si>
    <t>EMU</t>
    <phoneticPr fontId="9"/>
  </si>
  <si>
    <t>MEROS</t>
    <phoneticPr fontId="9"/>
  </si>
  <si>
    <t>CHIKUHODO</t>
  </si>
  <si>
    <t>LAPIDEM</t>
    <phoneticPr fontId="10"/>
  </si>
  <si>
    <t>LEJEU</t>
  </si>
  <si>
    <t>URESHINO</t>
  </si>
  <si>
    <t>輸送費(FREIGHT)</t>
    <rPh sb="0" eb="3">
      <t>ユソウヒ</t>
    </rPh>
    <phoneticPr fontId="4"/>
  </si>
  <si>
    <t>輸送費込みTotal</t>
    <rPh sb="0" eb="3">
      <t>ユソウヒ</t>
    </rPh>
    <rPh sb="3" eb="4">
      <t>コ</t>
    </rPh>
    <phoneticPr fontId="4"/>
  </si>
  <si>
    <t>売上</t>
  </si>
  <si>
    <t xml:space="preserve">(RELENT)
</t>
    <phoneticPr fontId="4"/>
  </si>
  <si>
    <t>(SUNSORIT)</t>
    <phoneticPr fontId="6"/>
  </si>
  <si>
    <t>ATMORE</t>
    <phoneticPr fontId="6"/>
  </si>
  <si>
    <t>COSMEPRO</t>
    <phoneticPr fontId="12"/>
  </si>
  <si>
    <t>AFURA</t>
    <phoneticPr fontId="12"/>
  </si>
  <si>
    <t>HANAKO</t>
    <phoneticPr fontId="12"/>
  </si>
  <si>
    <t>Luxces</t>
  </si>
  <si>
    <t>FAJ</t>
    <phoneticPr fontId="11"/>
  </si>
  <si>
    <t>輸送費込み請求金額</t>
    <rPh sb="0" eb="3">
      <t>ユソウヒ</t>
    </rPh>
    <rPh sb="3" eb="4">
      <t>コ</t>
    </rPh>
    <rPh sb="5" eb="7">
      <t>セイキュウ</t>
    </rPh>
    <rPh sb="7" eb="9">
      <t>キンガク</t>
    </rPh>
    <phoneticPr fontId="3"/>
  </si>
  <si>
    <t>KS/センコン総合利益</t>
    <rPh sb="7" eb="9">
      <t>ソウゴウ</t>
    </rPh>
    <rPh sb="9" eb="11">
      <t>リエキ</t>
    </rPh>
    <phoneticPr fontId="4"/>
  </si>
  <si>
    <t>センコン
利益</t>
    <rPh sb="5" eb="7">
      <t>リエキ</t>
    </rPh>
    <phoneticPr fontId="4"/>
  </si>
  <si>
    <t>センコン利益(FLOUVEIL,CBON)</t>
    <rPh sb="4" eb="6">
      <t>リエキ</t>
    </rPh>
    <phoneticPr fontId="4"/>
  </si>
  <si>
    <t>センコン利益率(FLOUVEIL,CBON)</t>
    <rPh sb="4" eb="6">
      <t>リエキ</t>
    </rPh>
    <rPh sb="6" eb="7">
      <t>リツ</t>
    </rPh>
    <phoneticPr fontId="4"/>
  </si>
  <si>
    <t>KS商品別利益</t>
  </si>
  <si>
    <t>（FLOUVEIL）</t>
    <phoneticPr fontId="4"/>
  </si>
  <si>
    <t>（RELENT）</t>
    <phoneticPr fontId="4"/>
  </si>
  <si>
    <t>(CBON)</t>
    <phoneticPr fontId="4"/>
  </si>
  <si>
    <t>(Q1st)</t>
    <phoneticPr fontId="8"/>
  </si>
  <si>
    <t>(姫ラボ）</t>
  </si>
  <si>
    <t>COREIN</t>
    <phoneticPr fontId="8"/>
  </si>
  <si>
    <t>ELEGADOLL</t>
    <phoneticPr fontId="11"/>
  </si>
  <si>
    <t>MAYURI</t>
    <phoneticPr fontId="8"/>
  </si>
  <si>
    <t>AISEN</t>
  </si>
  <si>
    <t>DOSHISHA</t>
    <phoneticPr fontId="11"/>
  </si>
  <si>
    <t>BEAUTY CONEXION</t>
    <phoneticPr fontId="12"/>
  </si>
  <si>
    <t>DIAMANTE</t>
    <phoneticPr fontId="9"/>
  </si>
  <si>
    <t>合計</t>
    <rPh sb="0" eb="2">
      <t>ゴウケイ</t>
    </rPh>
    <phoneticPr fontId="4"/>
  </si>
  <si>
    <t>KS利益（全商品）</t>
    <rPh sb="2" eb="4">
      <t>リエキ</t>
    </rPh>
    <rPh sb="5" eb="8">
      <t>ゼンショウヒン</t>
    </rPh>
    <phoneticPr fontId="4"/>
  </si>
  <si>
    <t>KS利益率（全商品）</t>
    <rPh sb="2" eb="4">
      <t>リエキ</t>
    </rPh>
    <rPh sb="4" eb="5">
      <t>リツ</t>
    </rPh>
    <rPh sb="6" eb="9">
      <t>ゼンショウヒン</t>
    </rPh>
    <phoneticPr fontId="4"/>
  </si>
  <si>
    <t>債権残高</t>
    <rPh sb="0" eb="2">
      <t>サイケン</t>
    </rPh>
    <rPh sb="2" eb="4">
      <t>ザンダカ</t>
    </rPh>
    <phoneticPr fontId="4"/>
  </si>
  <si>
    <t>回収期限</t>
    <rPh sb="0" eb="2">
      <t>カイシュウ</t>
    </rPh>
    <rPh sb="2" eb="4">
      <t>キゲン</t>
    </rPh>
    <phoneticPr fontId="8"/>
  </si>
  <si>
    <t>入金
①</t>
    <rPh sb="0" eb="2">
      <t>ニュウキン</t>
    </rPh>
    <phoneticPr fontId="4"/>
  </si>
  <si>
    <t>日付</t>
    <rPh sb="0" eb="2">
      <t>ヒヅケ</t>
    </rPh>
    <phoneticPr fontId="4"/>
  </si>
  <si>
    <t>金額</t>
    <rPh sb="0" eb="2">
      <t>キンガク</t>
    </rPh>
    <phoneticPr fontId="4"/>
  </si>
  <si>
    <t>入金
②</t>
    <rPh sb="0" eb="2">
      <t>ニュウキン</t>
    </rPh>
    <phoneticPr fontId="4"/>
  </si>
  <si>
    <t>入金
③</t>
    <rPh sb="0" eb="2">
      <t>ニュウキン</t>
    </rPh>
    <phoneticPr fontId="4"/>
  </si>
  <si>
    <t>入金
④</t>
    <rPh sb="0" eb="2">
      <t>ニュウキン</t>
    </rPh>
    <phoneticPr fontId="4"/>
  </si>
  <si>
    <t>入金
⑤</t>
    <rPh sb="0" eb="2">
      <t>ニュウキン</t>
    </rPh>
    <phoneticPr fontId="4"/>
  </si>
  <si>
    <t>入金
⑥</t>
    <rPh sb="0" eb="2">
      <t>ニュウキン</t>
    </rPh>
    <phoneticPr fontId="4"/>
  </si>
  <si>
    <t>入金
⑦</t>
    <rPh sb="0" eb="2">
      <t>ニュウキン</t>
    </rPh>
    <phoneticPr fontId="4"/>
  </si>
  <si>
    <t>入金
⑧</t>
    <rPh sb="0" eb="2">
      <t>ニュウキン</t>
    </rPh>
    <phoneticPr fontId="4"/>
  </si>
  <si>
    <t>債権残高（合計）</t>
    <rPh sb="0" eb="2">
      <t>サイケン</t>
    </rPh>
    <rPh sb="2" eb="4">
      <t>ザンダカ</t>
    </rPh>
    <rPh sb="5" eb="7">
      <t>ゴウケイ</t>
    </rPh>
    <phoneticPr fontId="4"/>
  </si>
  <si>
    <t>Total(税込）</t>
    <rPh sb="6" eb="7">
      <t>ゼイ</t>
    </rPh>
    <rPh sb="7" eb="8">
      <t>コミ</t>
    </rPh>
    <phoneticPr fontId="4"/>
  </si>
  <si>
    <t>TOTAL</t>
    <phoneticPr fontId="7"/>
  </si>
  <si>
    <t>売上合計金額</t>
    <rPh sb="0" eb="2">
      <t>ウリアゲ</t>
    </rPh>
    <rPh sb="2" eb="4">
      <t>ゴウケイ</t>
    </rPh>
    <rPh sb="4" eb="6">
      <t>キンガク</t>
    </rPh>
    <phoneticPr fontId="4"/>
  </si>
  <si>
    <t>利益</t>
    <rPh sb="0" eb="2">
      <t>リエキ</t>
    </rPh>
    <phoneticPr fontId="4"/>
  </si>
  <si>
    <t>合計利益</t>
    <phoneticPr fontId="4"/>
  </si>
  <si>
    <t>合計利益率</t>
    <phoneticPr fontId="4"/>
  </si>
  <si>
    <t>KS
商品別利益</t>
    <phoneticPr fontId="4"/>
  </si>
  <si>
    <t>UTENA</t>
    <phoneticPr fontId="4"/>
  </si>
  <si>
    <t>Shallbe</t>
    <phoneticPr fontId="4"/>
  </si>
  <si>
    <t>YAMATO債務残高</t>
    <rPh sb="6" eb="8">
      <t>サイム</t>
    </rPh>
    <rPh sb="8" eb="10">
      <t>ザンダカ</t>
    </rPh>
    <phoneticPr fontId="5"/>
  </si>
  <si>
    <t>入金予定</t>
    <rPh sb="0" eb="2">
      <t>ニュウキン</t>
    </rPh>
    <rPh sb="2" eb="4">
      <t>ヨテイ</t>
    </rPh>
    <phoneticPr fontId="7"/>
  </si>
  <si>
    <t>入金
①</t>
    <rPh sb="0" eb="2">
      <t>ザンガク</t>
    </rPh>
    <phoneticPr fontId="4"/>
  </si>
  <si>
    <t>額</t>
    <rPh sb="0" eb="1">
      <t>ガク</t>
    </rPh>
    <phoneticPr fontId="4"/>
  </si>
  <si>
    <t>入金
②</t>
    <rPh sb="0" eb="2">
      <t>ザンガク</t>
    </rPh>
    <phoneticPr fontId="4"/>
  </si>
  <si>
    <t>☆合計残高　</t>
    <rPh sb="1" eb="3">
      <t>ゴウケイ</t>
    </rPh>
    <rPh sb="3" eb="5">
      <t>ザンダカ</t>
    </rPh>
    <phoneticPr fontId="5"/>
  </si>
  <si>
    <t>合計債権残高</t>
    <rPh sb="0" eb="2">
      <t>ゴウケイ</t>
    </rPh>
    <rPh sb="2" eb="4">
      <t>サイケン</t>
    </rPh>
    <rPh sb="4" eb="6">
      <t>ザンダカ</t>
    </rPh>
    <phoneticPr fontId="5"/>
  </si>
  <si>
    <t>2023.08～2024.07</t>
    <phoneticPr fontId="11"/>
  </si>
  <si>
    <t>YAMATO向け売上表　2023年8月～</t>
    <rPh sb="6" eb="7">
      <t>ム</t>
    </rPh>
    <rPh sb="8" eb="10">
      <t>ウリアゲ</t>
    </rPh>
    <rPh sb="10" eb="11">
      <t>ヒョウ</t>
    </rPh>
    <rPh sb="16" eb="17">
      <t>ネン</t>
    </rPh>
    <rPh sb="18" eb="19">
      <t>ガツ</t>
    </rPh>
    <phoneticPr fontId="4"/>
  </si>
  <si>
    <t>OLUPONO</t>
  </si>
  <si>
    <t>OLUPONO</t>
    <phoneticPr fontId="12"/>
  </si>
  <si>
    <t>DIME HEALTH CARE</t>
  </si>
  <si>
    <t>DIME HEALTH CARE</t>
    <phoneticPr fontId="4"/>
  </si>
  <si>
    <t>DIAMANTE</t>
  </si>
  <si>
    <t>EMU</t>
  </si>
  <si>
    <t>EMU</t>
    <phoneticPr fontId="4"/>
  </si>
  <si>
    <t>CHIKUHODO</t>
    <phoneticPr fontId="11"/>
  </si>
  <si>
    <t>LAPIDEM</t>
  </si>
  <si>
    <t>LAPIDEM</t>
    <phoneticPr fontId="9"/>
  </si>
  <si>
    <t>MARY PLATINUE</t>
  </si>
  <si>
    <t>MARY PLATINUE</t>
    <phoneticPr fontId="9"/>
  </si>
  <si>
    <t>POD(ROSY DROP)</t>
    <phoneticPr fontId="12"/>
  </si>
  <si>
    <t>CBS(ESTLABO)</t>
    <phoneticPr fontId="10"/>
  </si>
  <si>
    <t>DOSHISHA</t>
  </si>
  <si>
    <t>MEROS</t>
  </si>
  <si>
    <t>STAR LAB</t>
  </si>
  <si>
    <t>Beauty Conexion</t>
  </si>
  <si>
    <t>COSMEPRO</t>
  </si>
  <si>
    <t>AFURA</t>
  </si>
  <si>
    <t>PECLIA</t>
  </si>
  <si>
    <t>OSATO</t>
  </si>
  <si>
    <t>HANAKO</t>
  </si>
  <si>
    <t>AISHODO</t>
  </si>
  <si>
    <t>McCoy</t>
  </si>
  <si>
    <t>C'BON</t>
  </si>
  <si>
    <t>Q1st</t>
  </si>
  <si>
    <t>CHANSON</t>
  </si>
  <si>
    <t>HIMELABO</t>
  </si>
  <si>
    <t>SUNSORIT</t>
  </si>
  <si>
    <t>KYOTOMO</t>
  </si>
  <si>
    <t>COREIN</t>
  </si>
  <si>
    <t>ELEGADOLL</t>
  </si>
  <si>
    <t>MAYURI</t>
  </si>
  <si>
    <t>ATMORE</t>
  </si>
  <si>
    <t>Freight</t>
    <phoneticPr fontId="4"/>
  </si>
  <si>
    <t>CBS(ESTLABO)</t>
    <phoneticPr fontId="11"/>
  </si>
  <si>
    <t>CBS(ESTLABO)</t>
    <phoneticPr fontId="12"/>
  </si>
  <si>
    <t>LEJEU</t>
    <phoneticPr fontId="12"/>
  </si>
  <si>
    <t>AISHODO</t>
    <phoneticPr fontId="12"/>
  </si>
  <si>
    <t>MEDION</t>
    <phoneticPr fontId="12"/>
  </si>
  <si>
    <t>McCoy</t>
    <phoneticPr fontId="12"/>
  </si>
  <si>
    <t>CARING JAPAN (RUHAKU)</t>
    <phoneticPr fontId="12"/>
  </si>
  <si>
    <t>URESHINO</t>
    <phoneticPr fontId="12"/>
  </si>
  <si>
    <t>Luxces</t>
    <phoneticPr fontId="12"/>
  </si>
  <si>
    <t>FAJ</t>
    <phoneticPr fontId="12"/>
  </si>
  <si>
    <t>Freight</t>
    <phoneticPr fontId="12"/>
  </si>
  <si>
    <t>JAPAN-SENKON向け売上表　2023年8月～</t>
    <rPh sb="12" eb="13">
      <t>ム</t>
    </rPh>
    <rPh sb="14" eb="16">
      <t>ウリアゲ</t>
    </rPh>
    <rPh sb="16" eb="17">
      <t>ヒョウ</t>
    </rPh>
    <rPh sb="22" eb="23">
      <t>ネン</t>
    </rPh>
    <rPh sb="24" eb="25">
      <t>ガツ</t>
    </rPh>
    <phoneticPr fontId="4"/>
  </si>
  <si>
    <t>国内経費</t>
    <rPh sb="0" eb="2">
      <t>コクナイ</t>
    </rPh>
    <rPh sb="2" eb="4">
      <t>ケイヒ</t>
    </rPh>
    <phoneticPr fontId="28"/>
  </si>
  <si>
    <t>海上運賃</t>
    <rPh sb="0" eb="4">
      <t>カイジョウウンチン</t>
    </rPh>
    <phoneticPr fontId="28"/>
  </si>
  <si>
    <t>非課税</t>
    <rPh sb="0" eb="3">
      <t>ヒカゼイ</t>
    </rPh>
    <phoneticPr fontId="4"/>
  </si>
  <si>
    <t>(FLOUVEIL)</t>
  </si>
  <si>
    <t>Diaasjapan</t>
  </si>
  <si>
    <t>債権残高（合計）</t>
    <rPh sb="0" eb="2">
      <t>サイケン</t>
    </rPh>
    <rPh sb="2" eb="4">
      <t>ザンダカ</t>
    </rPh>
    <rPh sb="5" eb="7">
      <t>ゴウケイ</t>
    </rPh>
    <phoneticPr fontId="5"/>
  </si>
  <si>
    <t>債権残高</t>
    <rPh sb="0" eb="2">
      <t>サイケン</t>
    </rPh>
    <rPh sb="2" eb="4">
      <t>ザンダカ</t>
    </rPh>
    <phoneticPr fontId="5"/>
  </si>
  <si>
    <t>金額</t>
    <rPh sb="0" eb="2">
      <t>キンガク</t>
    </rPh>
    <phoneticPr fontId="5"/>
  </si>
  <si>
    <t>日付</t>
    <rPh sb="0" eb="2">
      <t>ヒヅケ</t>
    </rPh>
    <phoneticPr fontId="5"/>
  </si>
  <si>
    <t>入金
⑧</t>
    <rPh sb="0" eb="2">
      <t>ニュウキン</t>
    </rPh>
    <phoneticPr fontId="5"/>
  </si>
  <si>
    <t>入金
⑦</t>
    <rPh sb="0" eb="2">
      <t>ニュウキン</t>
    </rPh>
    <phoneticPr fontId="5"/>
  </si>
  <si>
    <t>入金
⑥</t>
    <rPh sb="0" eb="2">
      <t>ニュウキン</t>
    </rPh>
    <phoneticPr fontId="5"/>
  </si>
  <si>
    <t>入金
⑤</t>
    <rPh sb="0" eb="2">
      <t>ニュウキン</t>
    </rPh>
    <phoneticPr fontId="5"/>
  </si>
  <si>
    <t>入金
④</t>
    <rPh sb="0" eb="2">
      <t>ニュウキン</t>
    </rPh>
    <phoneticPr fontId="5"/>
  </si>
  <si>
    <t>入金
③</t>
    <rPh sb="0" eb="2">
      <t>ニュウキン</t>
    </rPh>
    <phoneticPr fontId="5"/>
  </si>
  <si>
    <t>入金
②</t>
    <rPh sb="0" eb="2">
      <t>ニュウキン</t>
    </rPh>
    <phoneticPr fontId="5"/>
  </si>
  <si>
    <t>入金
①</t>
    <rPh sb="0" eb="2">
      <t>ニュウキン</t>
    </rPh>
    <phoneticPr fontId="5"/>
  </si>
  <si>
    <t>回収期限</t>
    <rPh sb="0" eb="2">
      <t>カイシュウ</t>
    </rPh>
    <rPh sb="2" eb="4">
      <t>キゲン</t>
    </rPh>
    <phoneticPr fontId="9"/>
  </si>
  <si>
    <t>KS利益率（全商品）</t>
    <rPh sb="2" eb="4">
      <t>リエキ</t>
    </rPh>
    <rPh sb="4" eb="5">
      <t>リツ</t>
    </rPh>
    <rPh sb="6" eb="9">
      <t>ゼンショウヒン</t>
    </rPh>
    <phoneticPr fontId="5"/>
  </si>
  <si>
    <t>KS利益（全商品）</t>
    <rPh sb="2" eb="4">
      <t>リエキ</t>
    </rPh>
    <rPh sb="5" eb="8">
      <t>ゼンショウヒン</t>
    </rPh>
    <phoneticPr fontId="5"/>
  </si>
  <si>
    <t>合計</t>
    <rPh sb="0" eb="2">
      <t>ゴウケイ</t>
    </rPh>
    <phoneticPr fontId="5"/>
  </si>
  <si>
    <t>Freight</t>
    <phoneticPr fontId="13"/>
  </si>
  <si>
    <t>FAJ</t>
    <phoneticPr fontId="13"/>
  </si>
  <si>
    <t>DIAMANTE</t>
    <phoneticPr fontId="10"/>
  </si>
  <si>
    <t>Luxces</t>
    <phoneticPr fontId="13"/>
  </si>
  <si>
    <t>URESHINO</t>
    <phoneticPr fontId="13"/>
  </si>
  <si>
    <t>McCoy</t>
    <phoneticPr fontId="13"/>
  </si>
  <si>
    <t>MEDION</t>
    <phoneticPr fontId="13"/>
  </si>
  <si>
    <t>CARING JAPAN (RUHAKU)</t>
    <phoneticPr fontId="13"/>
  </si>
  <si>
    <t>AISHODO</t>
    <phoneticPr fontId="13"/>
  </si>
  <si>
    <t>LEJEU</t>
    <phoneticPr fontId="13"/>
  </si>
  <si>
    <t>HANAKO</t>
    <phoneticPr fontId="13"/>
  </si>
  <si>
    <t>AFURA</t>
    <phoneticPr fontId="13"/>
  </si>
  <si>
    <t>COSMEPRO</t>
    <phoneticPr fontId="13"/>
  </si>
  <si>
    <t>BEAUTY CONEXION</t>
    <phoneticPr fontId="13"/>
  </si>
  <si>
    <t>MEROS</t>
    <phoneticPr fontId="10"/>
  </si>
  <si>
    <t>DOSHISHA</t>
    <phoneticPr fontId="12"/>
  </si>
  <si>
    <t>POD(ROSY DROP)</t>
    <phoneticPr fontId="13"/>
  </si>
  <si>
    <t>MARY PL.</t>
    <phoneticPr fontId="5"/>
  </si>
  <si>
    <t>LAPIDEM</t>
    <phoneticPr fontId="11"/>
  </si>
  <si>
    <t>EMU</t>
    <phoneticPr fontId="10"/>
  </si>
  <si>
    <t>DIME HEALTH CARE</t>
    <phoneticPr fontId="12"/>
  </si>
  <si>
    <t>ATMORE</t>
    <phoneticPr fontId="7"/>
  </si>
  <si>
    <t>MAYURI</t>
    <phoneticPr fontId="9"/>
  </si>
  <si>
    <t>ELEGADOLL</t>
    <phoneticPr fontId="12"/>
  </si>
  <si>
    <t>COREIN</t>
    <phoneticPr fontId="9"/>
  </si>
  <si>
    <t>Kyo Tomo</t>
    <phoneticPr fontId="9"/>
  </si>
  <si>
    <t>(SUNSORIT)</t>
    <phoneticPr fontId="7"/>
  </si>
  <si>
    <t>ＣＨＡＮＳＯＮ</t>
    <phoneticPr fontId="5"/>
  </si>
  <si>
    <t>(Q1st)</t>
    <phoneticPr fontId="9"/>
  </si>
  <si>
    <t>(CBON)</t>
    <phoneticPr fontId="5"/>
  </si>
  <si>
    <t>（RELENT）</t>
    <phoneticPr fontId="5"/>
  </si>
  <si>
    <t>（FLOUVEIL）</t>
    <phoneticPr fontId="5"/>
  </si>
  <si>
    <t>センコン利益率(FLOUVEIL,CBON)</t>
    <rPh sb="4" eb="6">
      <t>リエキ</t>
    </rPh>
    <rPh sb="6" eb="7">
      <t>リツ</t>
    </rPh>
    <phoneticPr fontId="5"/>
  </si>
  <si>
    <t>センコン利益(FLOUVEIL,CBON)</t>
    <rPh sb="4" eb="6">
      <t>リエキ</t>
    </rPh>
    <phoneticPr fontId="5"/>
  </si>
  <si>
    <t>センコン
利益</t>
    <rPh sb="5" eb="7">
      <t>リエキ</t>
    </rPh>
    <phoneticPr fontId="5"/>
  </si>
  <si>
    <t>KS/センコン総合利益</t>
    <rPh sb="7" eb="9">
      <t>ソウゴウ</t>
    </rPh>
    <rPh sb="9" eb="11">
      <t>リエキ</t>
    </rPh>
    <phoneticPr fontId="5"/>
  </si>
  <si>
    <t>輸送費込み請求金額</t>
    <rPh sb="0" eb="3">
      <t>ユソウヒ</t>
    </rPh>
    <rPh sb="3" eb="4">
      <t>コ</t>
    </rPh>
    <rPh sb="5" eb="7">
      <t>セイキュウ</t>
    </rPh>
    <rPh sb="7" eb="9">
      <t>キンガク</t>
    </rPh>
    <phoneticPr fontId="4"/>
  </si>
  <si>
    <t>ROYAL COSMETICSのマージン</t>
  </si>
  <si>
    <t>Freight</t>
    <phoneticPr fontId="5"/>
  </si>
  <si>
    <t>Total</t>
    <phoneticPr fontId="5"/>
  </si>
  <si>
    <t>CBS(ESTLABO)</t>
    <phoneticPr fontId="13"/>
  </si>
  <si>
    <t xml:space="preserve">(RELENT)
</t>
    <phoneticPr fontId="5"/>
  </si>
  <si>
    <t>輸送費込みTotal</t>
    <rPh sb="0" eb="3">
      <t>ユソウヒ</t>
    </rPh>
    <rPh sb="3" eb="4">
      <t>コ</t>
    </rPh>
    <phoneticPr fontId="5"/>
  </si>
  <si>
    <t>輸送費(FREIGHT)</t>
    <rPh sb="0" eb="3">
      <t>ユソウヒ</t>
    </rPh>
    <phoneticPr fontId="5"/>
  </si>
  <si>
    <t>税込</t>
    <rPh sb="0" eb="2">
      <t>ゼイコ</t>
    </rPh>
    <phoneticPr fontId="5"/>
  </si>
  <si>
    <t>MARY PLATINUE</t>
    <phoneticPr fontId="10"/>
  </si>
  <si>
    <t>CHIKUHODO</t>
    <phoneticPr fontId="12"/>
  </si>
  <si>
    <t>EMU</t>
    <phoneticPr fontId="5"/>
  </si>
  <si>
    <t>DIME HEALTH CARE</t>
    <phoneticPr fontId="5"/>
  </si>
  <si>
    <t>OLUPONO</t>
    <phoneticPr fontId="13"/>
  </si>
  <si>
    <t>ATMORE</t>
    <phoneticPr fontId="5"/>
  </si>
  <si>
    <t>MAYURI</t>
    <phoneticPr fontId="5"/>
  </si>
  <si>
    <t>ELEGADOLL</t>
    <phoneticPr fontId="5"/>
  </si>
  <si>
    <t>COREIN</t>
    <phoneticPr fontId="5"/>
  </si>
  <si>
    <t>SUNSORIT</t>
    <phoneticPr fontId="5"/>
  </si>
  <si>
    <t>HIMELABO</t>
    <phoneticPr fontId="5"/>
  </si>
  <si>
    <t>Q1st</t>
    <phoneticPr fontId="5"/>
  </si>
  <si>
    <t>センコン→
KS
(C'BON分）</t>
    <rPh sb="15" eb="16">
      <t>ブン</t>
    </rPh>
    <phoneticPr fontId="5"/>
  </si>
  <si>
    <t>CBON→
センコン</t>
    <phoneticPr fontId="5"/>
  </si>
  <si>
    <t>RELENT→
KS</t>
    <phoneticPr fontId="5"/>
  </si>
  <si>
    <t>センコン→
KS
(FLOUVEIL分）</t>
    <rPh sb="18" eb="19">
      <t>ブン</t>
    </rPh>
    <phoneticPr fontId="5"/>
  </si>
  <si>
    <t>FLOUVEIL→
センコン</t>
    <phoneticPr fontId="12"/>
  </si>
  <si>
    <t>出荷日</t>
    <rPh sb="0" eb="3">
      <t>シュッカビ</t>
    </rPh>
    <phoneticPr fontId="5"/>
  </si>
  <si>
    <t>2023.08～2024.07</t>
    <phoneticPr fontId="12"/>
  </si>
  <si>
    <t>ACES Beteiligunen UG社向け　売上表</t>
  </si>
  <si>
    <t>RC社手数料</t>
    <rPh sb="2" eb="3">
      <t>シャ</t>
    </rPh>
    <rPh sb="3" eb="6">
      <t>テスウリョウ</t>
    </rPh>
    <phoneticPr fontId="28"/>
  </si>
  <si>
    <t>仕入</t>
    <rPh sb="0" eb="2">
      <t>シイレ</t>
    </rPh>
    <phoneticPr fontId="12"/>
  </si>
  <si>
    <t>KS運賃込み利益</t>
    <rPh sb="2" eb="4">
      <t>ウンチン</t>
    </rPh>
    <rPh sb="4" eb="5">
      <t>コ</t>
    </rPh>
    <rPh sb="6" eb="8">
      <t>リエキ</t>
    </rPh>
    <phoneticPr fontId="12"/>
  </si>
  <si>
    <t>KS運賃込み利益率</t>
    <rPh sb="2" eb="4">
      <t>ウンチン</t>
    </rPh>
    <rPh sb="4" eb="5">
      <t>コ</t>
    </rPh>
    <rPh sb="6" eb="8">
      <t>リエキ</t>
    </rPh>
    <rPh sb="8" eb="9">
      <t>リツ</t>
    </rPh>
    <phoneticPr fontId="12"/>
  </si>
  <si>
    <t>ISTYLE</t>
    <phoneticPr fontId="12"/>
  </si>
  <si>
    <t>Evliss</t>
    <phoneticPr fontId="12"/>
  </si>
  <si>
    <t>Pro Labo</t>
    <phoneticPr fontId="12"/>
  </si>
  <si>
    <t>Rey.</t>
    <phoneticPr fontId="12"/>
  </si>
  <si>
    <t>Rey Beaty</t>
    <phoneticPr fontId="12"/>
  </si>
  <si>
    <t>売上</t>
    <phoneticPr fontId="12"/>
  </si>
  <si>
    <t>UTENA</t>
    <phoneticPr fontId="12"/>
  </si>
  <si>
    <t>Rey</t>
    <phoneticPr fontId="12"/>
  </si>
  <si>
    <t>原産地証明書の発給</t>
    <rPh sb="0" eb="3">
      <t>ゲンサンチ</t>
    </rPh>
    <rPh sb="3" eb="6">
      <t>ショウメイショ</t>
    </rPh>
    <rPh sb="7" eb="9">
      <t>ハッキュウ</t>
    </rPh>
    <phoneticPr fontId="12"/>
  </si>
  <si>
    <t>USA向け　売上表</t>
    <rPh sb="3" eb="4">
      <t>ム</t>
    </rPh>
    <rPh sb="6" eb="8">
      <t>ウリアゲ</t>
    </rPh>
    <rPh sb="8" eb="9">
      <t>ヒョウ</t>
    </rPh>
    <phoneticPr fontId="3"/>
  </si>
  <si>
    <t>2024.05～2024.07</t>
    <phoneticPr fontId="11"/>
  </si>
  <si>
    <t>有償購入、無償提供サンプル有</t>
    <rPh sb="0" eb="2">
      <t>ユウショウ</t>
    </rPh>
    <rPh sb="2" eb="4">
      <t>コウニュウ</t>
    </rPh>
    <rPh sb="5" eb="9">
      <t>ムショウテイキョウ</t>
    </rPh>
    <rPh sb="13" eb="14">
      <t>アリ</t>
    </rPh>
    <phoneticPr fontId="28"/>
  </si>
  <si>
    <t>初回+1500円（商工会議所登録料半額）</t>
    <rPh sb="0" eb="2">
      <t>ショカイ</t>
    </rPh>
    <rPh sb="7" eb="8">
      <t>エン</t>
    </rPh>
    <rPh sb="9" eb="14">
      <t>ショウコウカイギショ</t>
    </rPh>
    <rPh sb="14" eb="17">
      <t>トウロクリョウ</t>
    </rPh>
    <rPh sb="17" eb="19">
      <t>ハンガク</t>
    </rPh>
    <phoneticPr fontId="12"/>
  </si>
  <si>
    <t>個人向け　売上表</t>
    <rPh sb="0" eb="2">
      <t>コジン</t>
    </rPh>
    <rPh sb="2" eb="3">
      <t>ム</t>
    </rPh>
    <rPh sb="5" eb="7">
      <t>ウリアゲ</t>
    </rPh>
    <rPh sb="7" eb="8">
      <t>ヒョウ</t>
    </rPh>
    <phoneticPr fontId="3"/>
  </si>
  <si>
    <t>仕入</t>
    <rPh sb="0" eb="2">
      <t>シイレ</t>
    </rPh>
    <phoneticPr fontId="28"/>
  </si>
  <si>
    <t>売上</t>
    <rPh sb="0" eb="2">
      <t>ウリアゲ</t>
    </rPh>
    <phoneticPr fontId="28"/>
  </si>
  <si>
    <t>輸送費 (FREIGHT)</t>
    <rPh sb="0" eb="3">
      <t>ユソウヒ</t>
    </rPh>
    <phoneticPr fontId="4"/>
  </si>
  <si>
    <t>Pure Bio</t>
    <phoneticPr fontId="12"/>
  </si>
  <si>
    <t>2024.08～2025.07</t>
    <phoneticPr fontId="11"/>
  </si>
  <si>
    <t>COCOCHI</t>
    <phoneticPr fontId="28"/>
  </si>
  <si>
    <t>フランスEMS</t>
    <phoneticPr fontId="28"/>
  </si>
  <si>
    <t>ドバイEMS</t>
    <phoneticPr fontId="28"/>
  </si>
  <si>
    <t>COCOCHI社員購入</t>
    <rPh sb="7" eb="11">
      <t>シャインコウニュウ</t>
    </rPh>
    <phoneticPr fontId="28"/>
  </si>
  <si>
    <t>フランスEMS</t>
  </si>
  <si>
    <t>ロシア手持ち</t>
    <rPh sb="3" eb="5">
      <t>テモ</t>
    </rPh>
    <phoneticPr fontId="28"/>
  </si>
  <si>
    <t>9月仕入</t>
    <rPh sb="1" eb="2">
      <t>ガツ</t>
    </rPh>
    <rPh sb="2" eb="4">
      <t>シイレ</t>
    </rPh>
    <phoneticPr fontId="28"/>
  </si>
  <si>
    <t>サンプル輸出</t>
    <rPh sb="4" eb="6">
      <t>ユシュツ</t>
    </rPh>
    <phoneticPr fontId="28"/>
  </si>
  <si>
    <t>ドバイEMS再送
※送料のみ</t>
    <rPh sb="6" eb="8">
      <t>サイソウ</t>
    </rPh>
    <rPh sb="10" eb="12">
      <t>ソウリョウ</t>
    </rPh>
    <phoneticPr fontId="28"/>
  </si>
  <si>
    <t>ドバイEMS
NATALIA</t>
    <phoneticPr fontId="28"/>
  </si>
  <si>
    <t>ドバイEMS
サロン</t>
    <phoneticPr fontId="28"/>
  </si>
  <si>
    <t>ロシア手持ち
（Pure Bio, CBON, SKINIMALIST,LUXCES)</t>
    <rPh sb="3" eb="5">
      <t>テモ</t>
    </rPh>
    <phoneticPr fontId="28"/>
  </si>
  <si>
    <t>NIPPONIKA TRADING社向け　売上表</t>
    <rPh sb="17" eb="18">
      <t>シャ</t>
    </rPh>
    <rPh sb="18" eb="19">
      <t>ム</t>
    </rPh>
    <rPh sb="21" eb="23">
      <t>ウリアゲ</t>
    </rPh>
    <rPh sb="23" eb="24">
      <t>ヒョウ</t>
    </rPh>
    <phoneticPr fontId="3"/>
  </si>
  <si>
    <t>合計債権残高</t>
    <rPh sb="0" eb="2">
      <t>ゴウケイ</t>
    </rPh>
    <rPh sb="2" eb="4">
      <t>サイケン</t>
    </rPh>
    <rPh sb="4" eb="6">
      <t>ザンダカ</t>
    </rPh>
    <phoneticPr fontId="4"/>
  </si>
  <si>
    <t>EMS</t>
    <phoneticPr fontId="28"/>
  </si>
  <si>
    <t>SUNTREG</t>
    <phoneticPr fontId="28"/>
  </si>
  <si>
    <t>ロシア舞鶴 7PALLET</t>
    <rPh sb="3" eb="5">
      <t>マイヅル</t>
    </rPh>
    <phoneticPr fontId="28"/>
  </si>
  <si>
    <t>2024.04月</t>
    <rPh sb="7" eb="8">
      <t>ガツ</t>
    </rPh>
    <phoneticPr fontId="35"/>
  </si>
  <si>
    <t>全ロシア</t>
    <rPh sb="0" eb="1">
      <t>ゼン</t>
    </rPh>
    <phoneticPr fontId="35"/>
  </si>
  <si>
    <t>2024.05月</t>
    <rPh sb="7" eb="8">
      <t>ガツ</t>
    </rPh>
    <phoneticPr fontId="35"/>
  </si>
  <si>
    <t>ロシア</t>
    <phoneticPr fontId="35"/>
  </si>
  <si>
    <t>2024.06月</t>
    <rPh sb="7" eb="8">
      <t>ガツ</t>
    </rPh>
    <phoneticPr fontId="35"/>
  </si>
  <si>
    <t>2024.07月</t>
    <rPh sb="7" eb="8">
      <t>ガツ</t>
    </rPh>
    <phoneticPr fontId="35"/>
  </si>
  <si>
    <t>2024.08月</t>
    <rPh sb="7" eb="8">
      <t>ガツ</t>
    </rPh>
    <phoneticPr fontId="35"/>
  </si>
  <si>
    <t>2024.09月</t>
    <rPh sb="7" eb="8">
      <t>ガツ</t>
    </rPh>
    <phoneticPr fontId="35"/>
  </si>
  <si>
    <t>2024.10月</t>
    <rPh sb="7" eb="8">
      <t>ガツ</t>
    </rPh>
    <phoneticPr fontId="35"/>
  </si>
  <si>
    <t>2024.11月</t>
    <rPh sb="7" eb="8">
      <t>ガツ</t>
    </rPh>
    <phoneticPr fontId="35"/>
  </si>
  <si>
    <t>2024.12月</t>
    <rPh sb="7" eb="8">
      <t>ガツ</t>
    </rPh>
    <phoneticPr fontId="35"/>
  </si>
  <si>
    <t>2025.1月</t>
    <rPh sb="6" eb="7">
      <t>ガツ</t>
    </rPh>
    <phoneticPr fontId="35"/>
  </si>
  <si>
    <t>フランス</t>
    <phoneticPr fontId="35"/>
  </si>
  <si>
    <t>2025.2月</t>
    <rPh sb="6" eb="7">
      <t>ガツ</t>
    </rPh>
    <phoneticPr fontId="35"/>
  </si>
  <si>
    <t>ドバイ</t>
    <phoneticPr fontId="35"/>
  </si>
  <si>
    <t>2025.3月</t>
    <rPh sb="6" eb="7">
      <t>ガツ</t>
    </rPh>
    <phoneticPr fontId="35"/>
  </si>
  <si>
    <t>￥108,305,798（うちロシア向けは9631万）</t>
    <phoneticPr fontId="35"/>
  </si>
  <si>
    <t>Beauty Garage</t>
    <phoneticPr fontId="28"/>
  </si>
  <si>
    <t>PEQLIA</t>
    <phoneticPr fontId="28"/>
  </si>
  <si>
    <t>SUNTREG</t>
    <phoneticPr fontId="11"/>
  </si>
  <si>
    <t>ロシア舞鶴
6PL</t>
  </si>
  <si>
    <t>DIAMANTE EMS</t>
    <phoneticPr fontId="28"/>
  </si>
  <si>
    <t>舞鶴 5PALLET</t>
    <rPh sb="0" eb="2">
      <t>マイヅル</t>
    </rPh>
    <phoneticPr fontId="28"/>
  </si>
  <si>
    <t>ドバイ向けEMS
マッコイ無償提供サンプル込み</t>
    <rPh sb="3" eb="4">
      <t>ム</t>
    </rPh>
    <rPh sb="13" eb="15">
      <t>ムショウ</t>
    </rPh>
    <rPh sb="15" eb="17">
      <t>テイキョウ</t>
    </rPh>
    <rPh sb="21" eb="22">
      <t>コ</t>
    </rPh>
    <phoneticPr fontId="28"/>
  </si>
  <si>
    <t>LAPIDEMドバイへ空輸</t>
    <rPh sb="11" eb="13">
      <t>クウユ</t>
    </rPh>
    <phoneticPr fontId="28"/>
  </si>
  <si>
    <t>富山発【代行輸出】</t>
    <rPh sb="0" eb="2">
      <t>トヤマ</t>
    </rPh>
    <rPh sb="2" eb="3">
      <t>ハツ</t>
    </rPh>
    <rPh sb="4" eb="6">
      <t>ダイコウ</t>
    </rPh>
    <rPh sb="6" eb="8">
      <t>ユシュツ</t>
    </rPh>
    <phoneticPr fontId="28"/>
  </si>
  <si>
    <t>HEALING RELAX</t>
    <phoneticPr fontId="28"/>
  </si>
  <si>
    <t>ドバイ向けEMS
2個口</t>
    <rPh sb="3" eb="4">
      <t>ム</t>
    </rPh>
    <rPh sb="10" eb="12">
      <t>コグチ</t>
    </rPh>
    <phoneticPr fontId="28"/>
  </si>
  <si>
    <r>
      <t xml:space="preserve">フランス向けEMS
</t>
    </r>
    <r>
      <rPr>
        <sz val="6"/>
        <color rgb="FFFF0000"/>
        <rFont val="ＭＳ Ｐゴシック"/>
        <family val="2"/>
        <charset val="204"/>
        <scheme val="minor"/>
      </rPr>
      <t>シーボンマセ、ルクセスシャンプー在庫から出荷</t>
    </r>
    <rPh sb="4" eb="5">
      <t>ム</t>
    </rPh>
    <rPh sb="26" eb="28">
      <t>ザイコ</t>
    </rPh>
    <rPh sb="30" eb="32">
      <t>シュッカ</t>
    </rPh>
    <phoneticPr fontId="28"/>
  </si>
  <si>
    <t>ナタリアさん空輸</t>
    <rPh sb="6" eb="8">
      <t>クウユ</t>
    </rPh>
    <phoneticPr fontId="28"/>
  </si>
  <si>
    <t>贈答用輸出(原価）</t>
    <rPh sb="0" eb="2">
      <t>ゾウトウ</t>
    </rPh>
    <rPh sb="2" eb="3">
      <t>ヨウ</t>
    </rPh>
    <rPh sb="3" eb="5">
      <t>ユシュツ</t>
    </rPh>
    <rPh sb="6" eb="8">
      <t>ゲンカ</t>
    </rPh>
    <phoneticPr fontId="28"/>
  </si>
  <si>
    <t>JS債務残高</t>
    <rPh sb="2" eb="4">
      <t>サイム</t>
    </rPh>
    <rPh sb="4" eb="6">
      <t>ザンダカ</t>
    </rPh>
    <phoneticPr fontId="5"/>
  </si>
  <si>
    <t>BEAUTY GARAGE</t>
    <phoneticPr fontId="28"/>
  </si>
  <si>
    <t>\21,600前回未納分相殺</t>
    <rPh sb="7" eb="9">
      <t>ゼンカイ</t>
    </rPh>
    <rPh sb="9" eb="12">
      <t>ミノウブン</t>
    </rPh>
    <rPh sb="12" eb="14">
      <t>ソウサイ</t>
    </rPh>
    <phoneticPr fontId="28"/>
  </si>
  <si>
    <t>センコン物流</t>
    <rPh sb="4" eb="6">
      <t>ブツリュウ</t>
    </rPh>
    <phoneticPr fontId="28"/>
  </si>
  <si>
    <t>ドバイ向けEMS</t>
    <rPh sb="3" eb="4">
      <t>ム</t>
    </rPh>
    <phoneticPr fontId="28"/>
  </si>
  <si>
    <t>ロシア</t>
    <phoneticPr fontId="12"/>
  </si>
  <si>
    <t>ドバイ</t>
    <phoneticPr fontId="12"/>
  </si>
  <si>
    <t>フランス</t>
    <phoneticPr fontId="12"/>
  </si>
  <si>
    <t>イギリス向けEMS</t>
    <rPh sb="4" eb="5">
      <t>ム</t>
    </rPh>
    <phoneticPr fontId="28"/>
  </si>
  <si>
    <t>カザフスタン向けEMS</t>
    <rPh sb="6" eb="7">
      <t>ム</t>
    </rPh>
    <phoneticPr fontId="28"/>
  </si>
  <si>
    <t>ALBION/OTHER</t>
    <phoneticPr fontId="28"/>
  </si>
  <si>
    <t>Quality First</t>
  </si>
  <si>
    <t>CHANSON COSMETICS</t>
  </si>
  <si>
    <t>ROSY DROP</t>
  </si>
  <si>
    <t>COCOCHI COSME</t>
  </si>
  <si>
    <t>メーカー名</t>
  </si>
  <si>
    <t>BRUNO</t>
  </si>
  <si>
    <t>ROYAL COOSMETICS社向け
メーカー別仕入一覧（抜粋）2024.07月度～2025念6月度</t>
  </si>
  <si>
    <t>合計仕入額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</si>
</sst>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&quot;¥&quot;#,##0_);[Red]\(&quot;¥&quot;#,##0\)"/>
    <numFmt numFmtId="177" formatCode="[$¥-411]#,##0;[$¥-411]#,##0"/>
    <numFmt numFmtId="178" formatCode="&quot;¥&quot;#,##0.0;[Red]&quot;¥&quot;\-#,##0.0"/>
  </numFmts>
  <fonts count="38">
    <font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204"/>
      <scheme val="minor"/>
    </font>
    <font>
      <sz val="11"/>
      <color rgb="FFFF0000"/>
      <name val="ＭＳ Ｐゴシック"/>
      <family val="2"/>
      <charset val="204"/>
      <scheme val="minor"/>
    </font>
    <font>
      <b/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color rgb="FFFF0000"/>
      <name val="ＭＳ Ｐゴシック"/>
      <family val="2"/>
      <charset val="204"/>
      <scheme val="minor"/>
    </font>
    <font>
      <sz val="12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name val="ＭＳ Ｐゴシック"/>
      <family val="2"/>
      <charset val="204"/>
      <scheme val="minor"/>
    </font>
    <font>
      <b/>
      <sz val="12"/>
      <color theme="1"/>
      <name val="ＭＳ Ｐゴシック"/>
      <family val="2"/>
      <charset val="204"/>
      <scheme val="minor"/>
    </font>
    <font>
      <sz val="8"/>
      <color theme="1"/>
      <name val="ＭＳ Ｐゴシック"/>
      <family val="2"/>
      <charset val="204"/>
      <scheme val="minor"/>
    </font>
    <font>
      <sz val="12"/>
      <color rgb="FF000000"/>
      <name val="ＭＳ Ｐゴシック"/>
      <family val="2"/>
      <charset val="204"/>
      <scheme val="minor"/>
    </font>
    <font>
      <sz val="8"/>
      <color rgb="FFFF0000"/>
      <name val="ＭＳ Ｐゴシック"/>
      <family val="2"/>
      <charset val="204"/>
      <scheme val="minor"/>
    </font>
    <font>
      <b/>
      <sz val="10"/>
      <color theme="1"/>
      <name val="ＭＳ Ｐゴシック"/>
      <family val="2"/>
      <charset val="204"/>
      <scheme val="minor"/>
    </font>
    <font>
      <sz val="12"/>
      <name val="ＭＳ Ｐゴシック"/>
      <family val="2"/>
      <charset val="128"/>
      <scheme val="minor"/>
    </font>
    <font>
      <b/>
      <sz val="12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204"/>
      <scheme val="minor"/>
    </font>
    <font>
      <sz val="9"/>
      <color indexed="81"/>
      <name val="MS P ゴシック"/>
      <family val="2"/>
      <charset val="204"/>
    </font>
    <font>
      <b/>
      <sz val="9"/>
      <color indexed="81"/>
      <name val="MS P ゴシック"/>
      <family val="2"/>
      <charset val="204"/>
    </font>
    <font>
      <sz val="8"/>
      <name val="ＭＳ Ｐゴシック"/>
      <family val="2"/>
      <scheme val="minor"/>
    </font>
    <font>
      <sz val="11"/>
      <name val="ＭＳ Ｐゴシック"/>
      <family val="2"/>
      <scheme val="minor"/>
    </font>
    <font>
      <sz val="12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6"/>
      <color rgb="FFFF0000"/>
      <name val="ＭＳ Ｐゴシック"/>
      <family val="2"/>
      <charset val="204"/>
      <scheme val="minor"/>
    </font>
    <font>
      <b/>
      <sz val="9"/>
      <color theme="1"/>
      <name val="ＭＳ Ｐゴシック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8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</cellStyleXfs>
  <cellXfs count="637">
    <xf numFmtId="0" fontId="0" fillId="0" borderId="0" xfId="0">
      <alignment vertical="center"/>
    </xf>
    <xf numFmtId="0" fontId="15" fillId="0" borderId="0" xfId="0" applyFont="1">
      <alignment vertical="center"/>
    </xf>
    <xf numFmtId="6" fontId="0" fillId="0" borderId="0" xfId="0" applyNumberFormat="1">
      <alignment vertical="center"/>
    </xf>
    <xf numFmtId="0" fontId="0" fillId="2" borderId="1" xfId="0" applyFill="1" applyBorder="1">
      <alignment vertical="center"/>
    </xf>
    <xf numFmtId="9" fontId="13" fillId="0" borderId="1" xfId="3" applyBorder="1" applyAlignment="1">
      <alignment horizontal="center" vertical="center"/>
    </xf>
    <xf numFmtId="38" fontId="0" fillId="0" borderId="0" xfId="0" applyNumberFormat="1">
      <alignment vertical="center"/>
    </xf>
    <xf numFmtId="9" fontId="13" fillId="0" borderId="1" xfId="3" applyBorder="1" applyAlignment="1">
      <alignment horizontal="right" vertical="center"/>
    </xf>
    <xf numFmtId="0" fontId="0" fillId="0" borderId="1" xfId="0" applyBorder="1">
      <alignment vertical="center"/>
    </xf>
    <xf numFmtId="6" fontId="13" fillId="0" borderId="1" xfId="2" applyBorder="1">
      <alignment vertical="center"/>
    </xf>
    <xf numFmtId="38" fontId="13" fillId="0" borderId="1" xfId="4" applyBorder="1" applyAlignment="1">
      <alignment horizontal="right" vertical="center"/>
    </xf>
    <xf numFmtId="14" fontId="0" fillId="0" borderId="1" xfId="0" applyNumberFormat="1" applyBorder="1">
      <alignment vertical="center"/>
    </xf>
    <xf numFmtId="176" fontId="14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16" fillId="0" borderId="1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176" fontId="16" fillId="0" borderId="1" xfId="3" applyNumberFormat="1" applyFont="1" applyFill="1" applyBorder="1" applyAlignment="1">
      <alignment horizontal="right" vertical="center"/>
    </xf>
    <xf numFmtId="38" fontId="16" fillId="0" borderId="1" xfId="4" applyFont="1" applyFill="1" applyBorder="1">
      <alignment vertical="center"/>
    </xf>
    <xf numFmtId="6" fontId="16" fillId="0" borderId="1" xfId="2" applyFont="1" applyFill="1" applyBorder="1">
      <alignment vertical="center"/>
    </xf>
    <xf numFmtId="176" fontId="16" fillId="0" borderId="1" xfId="2" applyNumberFormat="1" applyFont="1" applyFill="1" applyBorder="1">
      <alignment vertical="center"/>
    </xf>
    <xf numFmtId="6" fontId="16" fillId="0" borderId="1" xfId="2" applyFont="1" applyFill="1" applyBorder="1" applyAlignment="1">
      <alignment horizontal="right" vertical="center"/>
    </xf>
    <xf numFmtId="6" fontId="16" fillId="0" borderId="1" xfId="0" applyNumberFormat="1" applyFont="1" applyBorder="1">
      <alignment vertical="center"/>
    </xf>
    <xf numFmtId="0" fontId="16" fillId="0" borderId="4" xfId="0" applyFont="1" applyBorder="1" applyAlignment="1">
      <alignment horizontal="center" vertical="center" wrapText="1"/>
    </xf>
    <xf numFmtId="6" fontId="16" fillId="0" borderId="0" xfId="0" applyNumberFormat="1" applyFont="1">
      <alignment vertical="center"/>
    </xf>
    <xf numFmtId="9" fontId="16" fillId="0" borderId="1" xfId="3" applyFont="1" applyBorder="1">
      <alignment vertical="center"/>
    </xf>
    <xf numFmtId="9" fontId="16" fillId="0" borderId="1" xfId="3" applyFont="1" applyFill="1" applyBorder="1">
      <alignment vertical="center"/>
    </xf>
    <xf numFmtId="9" fontId="16" fillId="0" borderId="1" xfId="0" applyNumberFormat="1" applyFont="1" applyBorder="1">
      <alignment vertical="center"/>
    </xf>
    <xf numFmtId="6" fontId="16" fillId="0" borderId="1" xfId="2" applyFont="1" applyBorder="1">
      <alignment vertical="center"/>
    </xf>
    <xf numFmtId="6" fontId="16" fillId="0" borderId="1" xfId="3" applyNumberFormat="1" applyFont="1" applyBorder="1">
      <alignment vertical="center"/>
    </xf>
    <xf numFmtId="6" fontId="16" fillId="0" borderId="1" xfId="3" applyNumberFormat="1" applyFont="1" applyFill="1" applyBorder="1">
      <alignment vertical="center"/>
    </xf>
    <xf numFmtId="38" fontId="16" fillId="0" borderId="1" xfId="0" applyNumberFormat="1" applyFont="1" applyBorder="1">
      <alignment vertical="center"/>
    </xf>
    <xf numFmtId="9" fontId="16" fillId="0" borderId="1" xfId="3" applyFont="1" applyFill="1" applyBorder="1" applyAlignment="1">
      <alignment horizontal="right" vertical="center"/>
    </xf>
    <xf numFmtId="6" fontId="16" fillId="0" borderId="1" xfId="3" applyNumberFormat="1" applyFont="1" applyFill="1" applyBorder="1" applyAlignment="1">
      <alignment horizontal="right" vertical="center"/>
    </xf>
    <xf numFmtId="0" fontId="16" fillId="4" borderId="0" xfId="0" applyFont="1" applyFill="1">
      <alignment vertical="center"/>
    </xf>
    <xf numFmtId="6" fontId="16" fillId="4" borderId="0" xfId="0" applyNumberFormat="1" applyFont="1" applyFill="1">
      <alignment vertical="center"/>
    </xf>
    <xf numFmtId="6" fontId="17" fillId="0" borderId="1" xfId="2" applyFont="1" applyFill="1" applyBorder="1">
      <alignment vertical="center"/>
    </xf>
    <xf numFmtId="176" fontId="0" fillId="0" borderId="0" xfId="0" applyNumberFormat="1" applyAlignment="1">
      <alignment vertical="center" wrapText="1"/>
    </xf>
    <xf numFmtId="0" fontId="16" fillId="5" borderId="1" xfId="0" applyFont="1" applyFill="1" applyBorder="1">
      <alignment vertical="center"/>
    </xf>
    <xf numFmtId="0" fontId="16" fillId="6" borderId="1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38" fontId="16" fillId="0" borderId="0" xfId="0" applyNumberFormat="1" applyFont="1">
      <alignment vertical="center"/>
    </xf>
    <xf numFmtId="0" fontId="0" fillId="0" borderId="6" xfId="0" applyBorder="1">
      <alignment vertical="center"/>
    </xf>
    <xf numFmtId="6" fontId="13" fillId="0" borderId="6" xfId="2" applyBorder="1">
      <alignment vertical="center"/>
    </xf>
    <xf numFmtId="6" fontId="16" fillId="0" borderId="4" xfId="2" applyFont="1" applyFill="1" applyBorder="1">
      <alignment vertical="center"/>
    </xf>
    <xf numFmtId="6" fontId="16" fillId="0" borderId="6" xfId="2" applyFont="1" applyFill="1" applyBorder="1">
      <alignment vertical="center"/>
    </xf>
    <xf numFmtId="6" fontId="16" fillId="0" borderId="5" xfId="2" applyFont="1" applyFill="1" applyBorder="1">
      <alignment vertical="center"/>
    </xf>
    <xf numFmtId="6" fontId="16" fillId="0" borderId="8" xfId="2" applyFont="1" applyFill="1" applyBorder="1">
      <alignment vertical="center"/>
    </xf>
    <xf numFmtId="6" fontId="16" fillId="0" borderId="6" xfId="0" applyNumberFormat="1" applyFont="1" applyBorder="1">
      <alignment vertical="center"/>
    </xf>
    <xf numFmtId="6" fontId="16" fillId="0" borderId="10" xfId="0" applyNumberFormat="1" applyFont="1" applyBorder="1">
      <alignment vertical="center"/>
    </xf>
    <xf numFmtId="6" fontId="13" fillId="0" borderId="1" xfId="2" applyFill="1" applyBorder="1">
      <alignment vertical="center"/>
    </xf>
    <xf numFmtId="9" fontId="13" fillId="0" borderId="1" xfId="3" applyFill="1" applyBorder="1" applyAlignment="1">
      <alignment horizontal="center" vertical="center"/>
    </xf>
    <xf numFmtId="9" fontId="16" fillId="0" borderId="1" xfId="2" applyNumberFormat="1" applyFont="1" applyBorder="1">
      <alignment vertical="center"/>
    </xf>
    <xf numFmtId="14" fontId="17" fillId="0" borderId="1" xfId="0" applyNumberFormat="1" applyFont="1" applyBorder="1">
      <alignment vertical="center"/>
    </xf>
    <xf numFmtId="6" fontId="18" fillId="0" borderId="1" xfId="2" applyFont="1" applyFill="1" applyBorder="1">
      <alignment vertical="center"/>
    </xf>
    <xf numFmtId="6" fontId="16" fillId="0" borderId="6" xfId="0" applyNumberFormat="1" applyFont="1" applyBorder="1" applyAlignment="1">
      <alignment horizontal="right" vertical="center"/>
    </xf>
    <xf numFmtId="6" fontId="18" fillId="0" borderId="1" xfId="2" applyFont="1" applyFill="1" applyBorder="1" applyAlignment="1">
      <alignment horizontal="right" vertical="center"/>
    </xf>
    <xf numFmtId="6" fontId="18" fillId="0" borderId="1" xfId="0" applyNumberFormat="1" applyFont="1" applyBorder="1">
      <alignment vertical="center"/>
    </xf>
    <xf numFmtId="6" fontId="1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6" fontId="16" fillId="0" borderId="1" xfId="0" applyNumberFormat="1" applyFont="1" applyBorder="1" applyAlignment="1">
      <alignment horizontal="right" vertical="center"/>
    </xf>
    <xf numFmtId="176" fontId="16" fillId="0" borderId="6" xfId="3" applyNumberFormat="1" applyFont="1" applyFill="1" applyBorder="1" applyAlignment="1">
      <alignment horizontal="right" vertical="center"/>
    </xf>
    <xf numFmtId="176" fontId="19" fillId="0" borderId="0" xfId="0" applyNumberFormat="1" applyFont="1">
      <alignment vertical="center"/>
    </xf>
    <xf numFmtId="14" fontId="18" fillId="0" borderId="6" xfId="0" applyNumberFormat="1" applyFont="1" applyBorder="1">
      <alignment vertical="center"/>
    </xf>
    <xf numFmtId="14" fontId="18" fillId="0" borderId="1" xfId="0" applyNumberFormat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6" fontId="20" fillId="0" borderId="1" xfId="2" applyFont="1" applyFill="1" applyBorder="1">
      <alignment vertical="center"/>
    </xf>
    <xf numFmtId="6" fontId="20" fillId="0" borderId="1" xfId="2" applyFont="1" applyFill="1" applyBorder="1" applyAlignment="1">
      <alignment horizontal="right" vertical="center"/>
    </xf>
    <xf numFmtId="6" fontId="20" fillId="0" borderId="1" xfId="0" applyNumberFormat="1" applyFont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6" fontId="16" fillId="0" borderId="25" xfId="2" applyFont="1" applyFill="1" applyBorder="1">
      <alignment vertical="center"/>
    </xf>
    <xf numFmtId="6" fontId="17" fillId="0" borderId="25" xfId="2" applyFont="1" applyFill="1" applyBorder="1">
      <alignment vertical="center"/>
    </xf>
    <xf numFmtId="6" fontId="16" fillId="0" borderId="14" xfId="2" applyFont="1" applyFill="1" applyBorder="1">
      <alignment vertical="center"/>
    </xf>
    <xf numFmtId="6" fontId="16" fillId="0" borderId="26" xfId="0" applyNumberFormat="1" applyFont="1" applyBorder="1" applyAlignment="1">
      <alignment horizontal="right" vertical="center"/>
    </xf>
    <xf numFmtId="6" fontId="17" fillId="0" borderId="5" xfId="2" applyFont="1" applyFill="1" applyBorder="1">
      <alignment vertical="center"/>
    </xf>
    <xf numFmtId="6" fontId="23" fillId="0" borderId="1" xfId="2" applyFont="1" applyFill="1" applyBorder="1">
      <alignment vertical="center"/>
    </xf>
    <xf numFmtId="0" fontId="16" fillId="6" borderId="25" xfId="0" applyFont="1" applyFill="1" applyBorder="1" applyAlignment="1">
      <alignment vertical="center" wrapText="1"/>
    </xf>
    <xf numFmtId="0" fontId="16" fillId="0" borderId="25" xfId="0" applyFont="1" applyBorder="1" applyAlignment="1">
      <alignment horizontal="center" vertical="center" wrapText="1"/>
    </xf>
    <xf numFmtId="38" fontId="16" fillId="0" borderId="25" xfId="4" applyFont="1" applyFill="1" applyBorder="1">
      <alignment vertical="center"/>
    </xf>
    <xf numFmtId="0" fontId="16" fillId="0" borderId="25" xfId="0" applyFont="1" applyBorder="1">
      <alignment vertical="center"/>
    </xf>
    <xf numFmtId="38" fontId="16" fillId="0" borderId="5" xfId="4" applyFont="1" applyFill="1" applyBorder="1">
      <alignment vertical="center"/>
    </xf>
    <xf numFmtId="0" fontId="16" fillId="6" borderId="8" xfId="0" applyFont="1" applyFill="1" applyBorder="1" applyAlignment="1">
      <alignment vertical="center" wrapText="1"/>
    </xf>
    <xf numFmtId="38" fontId="16" fillId="0" borderId="8" xfId="4" applyFont="1" applyFill="1" applyBorder="1">
      <alignment vertical="center"/>
    </xf>
    <xf numFmtId="14" fontId="20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/>
    </xf>
    <xf numFmtId="176" fontId="16" fillId="0" borderId="6" xfId="2" applyNumberFormat="1" applyFont="1" applyFill="1" applyBorder="1">
      <alignment vertical="center"/>
    </xf>
    <xf numFmtId="6" fontId="16" fillId="0" borderId="6" xfId="2" applyFont="1" applyFill="1" applyBorder="1" applyAlignment="1">
      <alignment horizontal="right" vertical="center"/>
    </xf>
    <xf numFmtId="6" fontId="16" fillId="0" borderId="27" xfId="2" applyFont="1" applyFill="1" applyBorder="1">
      <alignment vertical="center"/>
    </xf>
    <xf numFmtId="6" fontId="16" fillId="0" borderId="27" xfId="2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 wrapText="1"/>
    </xf>
    <xf numFmtId="0" fontId="16" fillId="6" borderId="25" xfId="0" applyFont="1" applyFill="1" applyBorder="1">
      <alignment vertical="center"/>
    </xf>
    <xf numFmtId="6" fontId="16" fillId="0" borderId="28" xfId="2" applyFont="1" applyFill="1" applyBorder="1">
      <alignment vertical="center"/>
    </xf>
    <xf numFmtId="6" fontId="16" fillId="0" borderId="29" xfId="2" applyFont="1" applyFill="1" applyBorder="1">
      <alignment vertical="center"/>
    </xf>
    <xf numFmtId="6" fontId="17" fillId="0" borderId="6" xfId="2" applyFont="1" applyFill="1" applyBorder="1">
      <alignment vertical="center"/>
    </xf>
    <xf numFmtId="6" fontId="14" fillId="0" borderId="1" xfId="2" applyFont="1" applyBorder="1">
      <alignment vertical="center"/>
    </xf>
    <xf numFmtId="6" fontId="17" fillId="0" borderId="6" xfId="2" applyFont="1" applyBorder="1">
      <alignment vertical="center"/>
    </xf>
    <xf numFmtId="6" fontId="17" fillId="0" borderId="6" xfId="2" applyFont="1" applyFill="1" applyBorder="1" applyAlignment="1">
      <alignment horizontal="right" vertical="center"/>
    </xf>
    <xf numFmtId="0" fontId="16" fillId="7" borderId="8" xfId="0" applyFont="1" applyFill="1" applyBorder="1" applyAlignment="1">
      <alignment horizontal="center" vertical="center" textRotation="255"/>
    </xf>
    <xf numFmtId="6" fontId="17" fillId="0" borderId="16" xfId="2" applyFont="1" applyFill="1" applyBorder="1">
      <alignment vertical="center"/>
    </xf>
    <xf numFmtId="6" fontId="16" fillId="0" borderId="25" xfId="2" applyFont="1" applyBorder="1">
      <alignment vertical="center"/>
    </xf>
    <xf numFmtId="176" fontId="24" fillId="0" borderId="0" xfId="0" applyNumberFormat="1" applyFont="1">
      <alignment vertical="center"/>
    </xf>
    <xf numFmtId="0" fontId="25" fillId="0" borderId="0" xfId="0" applyFont="1">
      <alignment vertical="center"/>
    </xf>
    <xf numFmtId="6" fontId="20" fillId="0" borderId="1" xfId="3" applyNumberFormat="1" applyFont="1" applyFill="1" applyBorder="1" applyAlignment="1">
      <alignment horizontal="right" vertical="center"/>
    </xf>
    <xf numFmtId="9" fontId="20" fillId="0" borderId="1" xfId="3" applyFont="1" applyFill="1" applyBorder="1" applyAlignment="1">
      <alignment horizontal="right" vertical="center"/>
    </xf>
    <xf numFmtId="9" fontId="20" fillId="0" borderId="1" xfId="3" applyFont="1" applyFill="1" applyBorder="1">
      <alignment vertical="center"/>
    </xf>
    <xf numFmtId="0" fontId="20" fillId="7" borderId="0" xfId="0" applyFont="1" applyFill="1" applyAlignment="1">
      <alignment horizontal="left" vertical="center" wrapText="1"/>
    </xf>
    <xf numFmtId="6" fontId="20" fillId="0" borderId="6" xfId="2" applyFont="1" applyFill="1" applyBorder="1">
      <alignment vertical="center"/>
    </xf>
    <xf numFmtId="0" fontId="20" fillId="0" borderId="1" xfId="0" applyFont="1" applyBorder="1">
      <alignment vertical="center"/>
    </xf>
    <xf numFmtId="6" fontId="29" fillId="0" borderId="1" xfId="2" applyFont="1" applyBorder="1">
      <alignment vertical="center"/>
    </xf>
    <xf numFmtId="6" fontId="16" fillId="0" borderId="30" xfId="2" applyFont="1" applyFill="1" applyBorder="1">
      <alignment vertical="center"/>
    </xf>
    <xf numFmtId="0" fontId="16" fillId="0" borderId="30" xfId="0" applyFont="1" applyBorder="1">
      <alignment vertical="center"/>
    </xf>
    <xf numFmtId="6" fontId="16" fillId="0" borderId="15" xfId="2" applyFont="1" applyFill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0" fillId="7" borderId="31" xfId="0" applyFont="1" applyFill="1" applyBorder="1" applyAlignment="1">
      <alignment horizontal="left" vertical="center" wrapText="1"/>
    </xf>
    <xf numFmtId="6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9" fontId="1" fillId="0" borderId="1" xfId="3" applyFont="1" applyFill="1" applyBorder="1">
      <alignment vertical="center"/>
    </xf>
    <xf numFmtId="9" fontId="1" fillId="0" borderId="5" xfId="3" applyFont="1" applyFill="1" applyBorder="1">
      <alignment vertical="center"/>
    </xf>
    <xf numFmtId="6" fontId="1" fillId="0" borderId="1" xfId="0" applyNumberFormat="1" applyFont="1" applyBorder="1" applyAlignment="1">
      <alignment horizontal="right" vertical="center"/>
    </xf>
    <xf numFmtId="9" fontId="1" fillId="0" borderId="1" xfId="3" applyFont="1" applyFill="1" applyBorder="1" applyAlignment="1">
      <alignment horizontal="right" vertical="center"/>
    </xf>
    <xf numFmtId="0" fontId="1" fillId="7" borderId="8" xfId="0" applyFont="1" applyFill="1" applyBorder="1" applyAlignment="1">
      <alignment horizontal="center" vertical="center" textRotation="255"/>
    </xf>
    <xf numFmtId="6" fontId="1" fillId="0" borderId="1" xfId="2" applyFont="1" applyFill="1" applyBorder="1" applyAlignment="1">
      <alignment horizontal="right" vertical="center"/>
    </xf>
    <xf numFmtId="6" fontId="1" fillId="0" borderId="1" xfId="3" applyNumberFormat="1" applyFont="1" applyFill="1" applyBorder="1" applyAlignment="1">
      <alignment horizontal="right" vertical="center"/>
    </xf>
    <xf numFmtId="6" fontId="1" fillId="0" borderId="1" xfId="2" applyFont="1" applyBorder="1">
      <alignment vertical="center"/>
    </xf>
    <xf numFmtId="0" fontId="1" fillId="0" borderId="1" xfId="3" applyNumberFormat="1" applyFont="1" applyFill="1" applyBorder="1" applyAlignment="1">
      <alignment horizontal="right" vertical="center"/>
    </xf>
    <xf numFmtId="6" fontId="1" fillId="0" borderId="1" xfId="3" applyNumberFormat="1" applyFont="1" applyFill="1" applyBorder="1">
      <alignment vertical="center"/>
    </xf>
    <xf numFmtId="38" fontId="1" fillId="0" borderId="1" xfId="0" applyNumberFormat="1" applyFont="1" applyBorder="1">
      <alignment vertical="center"/>
    </xf>
    <xf numFmtId="6" fontId="1" fillId="0" borderId="1" xfId="2" applyFont="1" applyFill="1" applyBorder="1">
      <alignment vertical="center"/>
    </xf>
    <xf numFmtId="9" fontId="1" fillId="0" borderId="8" xfId="3" applyFont="1" applyFill="1" applyBorder="1">
      <alignment vertical="center"/>
    </xf>
    <xf numFmtId="6" fontId="1" fillId="0" borderId="8" xfId="0" applyNumberFormat="1" applyFont="1" applyBorder="1">
      <alignment vertical="center"/>
    </xf>
    <xf numFmtId="6" fontId="1" fillId="0" borderId="16" xfId="0" applyNumberFormat="1" applyFont="1" applyBorder="1">
      <alignment vertical="center"/>
    </xf>
    <xf numFmtId="6" fontId="1" fillId="0" borderId="25" xfId="0" applyNumberFormat="1" applyFont="1" applyBorder="1">
      <alignment vertical="center"/>
    </xf>
    <xf numFmtId="6" fontId="1" fillId="0" borderId="4" xfId="0" applyNumberFormat="1" applyFont="1" applyBorder="1">
      <alignment vertical="center"/>
    </xf>
    <xf numFmtId="6" fontId="1" fillId="0" borderId="6" xfId="0" applyNumberFormat="1" applyFont="1" applyBorder="1">
      <alignment vertical="center"/>
    </xf>
    <xf numFmtId="6" fontId="1" fillId="0" borderId="10" xfId="0" applyNumberFormat="1" applyFont="1" applyBorder="1">
      <alignment vertical="center"/>
    </xf>
    <xf numFmtId="6" fontId="1" fillId="0" borderId="9" xfId="0" applyNumberFormat="1" applyFont="1" applyBorder="1">
      <alignment vertical="center"/>
    </xf>
    <xf numFmtId="6" fontId="1" fillId="0" borderId="2" xfId="0" applyNumberFormat="1" applyFont="1" applyBorder="1">
      <alignment vertical="center"/>
    </xf>
    <xf numFmtId="6" fontId="1" fillId="0" borderId="31" xfId="0" applyNumberFormat="1" applyFont="1" applyBorder="1">
      <alignment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6" fontId="1" fillId="0" borderId="5" xfId="2" applyFont="1" applyFill="1" applyBorder="1" applyAlignment="1">
      <alignment horizontal="right" vertical="center"/>
    </xf>
    <xf numFmtId="0" fontId="1" fillId="0" borderId="20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6" fontId="1" fillId="0" borderId="8" xfId="2" applyFont="1" applyFill="1" applyBorder="1">
      <alignment vertical="center"/>
    </xf>
    <xf numFmtId="6" fontId="1" fillId="0" borderId="6" xfId="2" applyFont="1" applyFill="1" applyBorder="1">
      <alignment vertical="center"/>
    </xf>
    <xf numFmtId="6" fontId="1" fillId="0" borderId="4" xfId="2" applyFont="1" applyFill="1" applyBorder="1">
      <alignment vertical="center"/>
    </xf>
    <xf numFmtId="0" fontId="1" fillId="6" borderId="1" xfId="0" applyFont="1" applyFill="1" applyBorder="1" applyAlignment="1">
      <alignment vertical="center" wrapText="1"/>
    </xf>
    <xf numFmtId="6" fontId="1" fillId="0" borderId="5" xfId="2" applyFont="1" applyFill="1" applyBorder="1">
      <alignment vertical="center"/>
    </xf>
    <xf numFmtId="0" fontId="1" fillId="0" borderId="1" xfId="0" applyFont="1" applyBorder="1">
      <alignment vertical="center"/>
    </xf>
    <xf numFmtId="6" fontId="1" fillId="0" borderId="16" xfId="2" applyFont="1" applyFill="1" applyBorder="1">
      <alignment vertical="center"/>
    </xf>
    <xf numFmtId="6" fontId="1" fillId="0" borderId="15" xfId="2" applyFont="1" applyFill="1" applyBorder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30" xfId="0" applyFont="1" applyBorder="1">
      <alignment vertical="center"/>
    </xf>
    <xf numFmtId="6" fontId="1" fillId="0" borderId="25" xfId="2" applyFont="1" applyBorder="1">
      <alignment vertical="center"/>
    </xf>
    <xf numFmtId="0" fontId="1" fillId="0" borderId="27" xfId="0" applyFont="1" applyBorder="1" applyAlignment="1">
      <alignment horizontal="center" vertical="center" wrapText="1"/>
    </xf>
    <xf numFmtId="0" fontId="1" fillId="6" borderId="1" xfId="0" applyFont="1" applyFill="1" applyBorder="1">
      <alignment vertical="center"/>
    </xf>
    <xf numFmtId="6" fontId="1" fillId="0" borderId="25" xfId="2" applyFont="1" applyFill="1" applyBorder="1">
      <alignment vertical="center"/>
    </xf>
    <xf numFmtId="6" fontId="1" fillId="0" borderId="27" xfId="2" applyFont="1" applyFill="1" applyBorder="1">
      <alignment vertical="center"/>
    </xf>
    <xf numFmtId="6" fontId="1" fillId="0" borderId="30" xfId="2" applyFont="1" applyFill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vertical="top" wrapText="1"/>
    </xf>
    <xf numFmtId="6" fontId="1" fillId="0" borderId="16" xfId="2" applyFont="1" applyFill="1" applyBorder="1" applyAlignment="1">
      <alignment horizontal="right" vertical="center"/>
    </xf>
    <xf numFmtId="6" fontId="1" fillId="0" borderId="25" xfId="2" applyFont="1" applyFill="1" applyBorder="1" applyAlignment="1">
      <alignment horizontal="right" vertical="center"/>
    </xf>
    <xf numFmtId="6" fontId="1" fillId="0" borderId="4" xfId="2" applyFont="1" applyFill="1" applyBorder="1" applyAlignment="1">
      <alignment horizontal="right" vertical="center"/>
    </xf>
    <xf numFmtId="6" fontId="1" fillId="0" borderId="6" xfId="0" applyNumberFormat="1" applyFont="1" applyBorder="1" applyAlignment="1">
      <alignment horizontal="right" vertical="center"/>
    </xf>
    <xf numFmtId="6" fontId="1" fillId="0" borderId="26" xfId="0" applyNumberFormat="1" applyFont="1" applyBorder="1" applyAlignment="1">
      <alignment horizontal="right" vertical="center"/>
    </xf>
    <xf numFmtId="6" fontId="1" fillId="0" borderId="25" xfId="0" applyNumberFormat="1" applyFont="1" applyBorder="1" applyAlignment="1">
      <alignment horizontal="right" vertical="center"/>
    </xf>
    <xf numFmtId="6" fontId="1" fillId="0" borderId="4" xfId="0" applyNumberFormat="1" applyFont="1" applyBorder="1" applyAlignment="1">
      <alignment horizontal="right" vertical="center"/>
    </xf>
    <xf numFmtId="6" fontId="1" fillId="0" borderId="14" xfId="2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6" fontId="1" fillId="0" borderId="29" xfId="2" applyFont="1" applyFill="1" applyBorder="1">
      <alignment vertical="center"/>
    </xf>
    <xf numFmtId="6" fontId="1" fillId="0" borderId="28" xfId="2" applyFont="1" applyFill="1" applyBorder="1">
      <alignment vertical="center"/>
    </xf>
    <xf numFmtId="6" fontId="1" fillId="0" borderId="6" xfId="2" applyFont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6" fontId="1" fillId="0" borderId="6" xfId="2" applyFont="1" applyFill="1" applyBorder="1" applyAlignment="1">
      <alignment horizontal="right" vertical="center"/>
    </xf>
    <xf numFmtId="176" fontId="1" fillId="0" borderId="1" xfId="2" applyNumberFormat="1" applyFont="1" applyFill="1" applyBorder="1">
      <alignment vertical="center"/>
    </xf>
    <xf numFmtId="176" fontId="1" fillId="0" borderId="1" xfId="2" applyNumberFormat="1" applyFont="1" applyFill="1" applyBorder="1" applyAlignment="1">
      <alignment horizontal="right" vertical="center"/>
    </xf>
    <xf numFmtId="176" fontId="1" fillId="0" borderId="6" xfId="2" applyNumberFormat="1" applyFont="1" applyFill="1" applyBorder="1" applyAlignment="1">
      <alignment horizontal="right" vertical="center"/>
    </xf>
    <xf numFmtId="176" fontId="1" fillId="0" borderId="1" xfId="3" applyNumberFormat="1" applyFont="1" applyFill="1" applyBorder="1" applyAlignment="1">
      <alignment horizontal="right" vertical="center"/>
    </xf>
    <xf numFmtId="176" fontId="1" fillId="0" borderId="6" xfId="3" applyNumberFormat="1" applyFont="1" applyFill="1" applyBorder="1" applyAlignment="1">
      <alignment horizontal="right" vertical="center"/>
    </xf>
    <xf numFmtId="176" fontId="1" fillId="0" borderId="4" xfId="3" applyNumberFormat="1" applyFont="1" applyFill="1" applyBorder="1" applyAlignment="1">
      <alignment horizontal="right" vertical="center"/>
    </xf>
    <xf numFmtId="176" fontId="1" fillId="0" borderId="8" xfId="3" applyNumberFormat="1" applyFont="1" applyFill="1" applyBorder="1" applyAlignment="1">
      <alignment horizontal="right" vertical="center"/>
    </xf>
    <xf numFmtId="14" fontId="1" fillId="0" borderId="1" xfId="0" applyNumberFormat="1" applyFont="1" applyBorder="1">
      <alignment vertical="center"/>
    </xf>
    <xf numFmtId="14" fontId="1" fillId="0" borderId="6" xfId="0" applyNumberFormat="1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6" fontId="1" fillId="14" borderId="6" xfId="2" applyFont="1" applyFill="1" applyBorder="1">
      <alignment vertical="center"/>
    </xf>
    <xf numFmtId="6" fontId="1" fillId="14" borderId="27" xfId="2" applyFont="1" applyFill="1" applyBorder="1" applyAlignment="1">
      <alignment vertical="center"/>
    </xf>
    <xf numFmtId="6" fontId="1" fillId="14" borderId="16" xfId="2" applyFont="1" applyFill="1" applyBorder="1">
      <alignment vertical="center"/>
    </xf>
    <xf numFmtId="6" fontId="1" fillId="4" borderId="6" xfId="2" applyFont="1" applyFill="1" applyBorder="1" applyAlignment="1">
      <alignment horizontal="right" vertical="center"/>
    </xf>
    <xf numFmtId="6" fontId="1" fillId="4" borderId="6" xfId="0" applyNumberFormat="1" applyFont="1" applyFill="1" applyBorder="1" applyAlignment="1">
      <alignment horizontal="right" vertical="center"/>
    </xf>
    <xf numFmtId="38" fontId="1" fillId="0" borderId="1" xfId="4" applyFont="1" applyFill="1" applyBorder="1">
      <alignment vertical="center"/>
    </xf>
    <xf numFmtId="9" fontId="1" fillId="0" borderId="1" xfId="3" applyFont="1" applyBorder="1">
      <alignment vertical="center"/>
    </xf>
    <xf numFmtId="0" fontId="0" fillId="2" borderId="8" xfId="0" applyFill="1" applyBorder="1" applyAlignment="1">
      <alignment horizontal="center" vertical="center" textRotation="255"/>
    </xf>
    <xf numFmtId="0" fontId="22" fillId="12" borderId="8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textRotation="255"/>
    </xf>
    <xf numFmtId="0" fontId="16" fillId="7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6" fontId="1" fillId="0" borderId="1" xfId="3" applyNumberFormat="1" applyFont="1" applyBorder="1">
      <alignment vertical="center"/>
    </xf>
    <xf numFmtId="0" fontId="1" fillId="6" borderId="5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9" fontId="16" fillId="0" borderId="0" xfId="3" applyFont="1">
      <alignment vertical="center"/>
    </xf>
    <xf numFmtId="8" fontId="16" fillId="0" borderId="0" xfId="0" applyNumberFormat="1" applyFont="1">
      <alignment vertical="center"/>
    </xf>
    <xf numFmtId="6" fontId="16" fillId="0" borderId="5" xfId="3" applyNumberFormat="1" applyFont="1" applyFill="1" applyBorder="1">
      <alignment vertical="center"/>
    </xf>
    <xf numFmtId="6" fontId="16" fillId="0" borderId="2" xfId="0" applyNumberFormat="1" applyFont="1" applyBorder="1">
      <alignment vertical="center"/>
    </xf>
    <xf numFmtId="38" fontId="13" fillId="0" borderId="6" xfId="4" applyBorder="1" applyAlignment="1">
      <alignment horizontal="right" vertical="center"/>
    </xf>
    <xf numFmtId="9" fontId="13" fillId="0" borderId="6" xfId="3" applyBorder="1" applyAlignment="1">
      <alignment horizontal="right" vertical="center"/>
    </xf>
    <xf numFmtId="38" fontId="13" fillId="0" borderId="7" xfId="4" applyBorder="1" applyAlignment="1">
      <alignment horizontal="right" vertical="center"/>
    </xf>
    <xf numFmtId="14" fontId="14" fillId="0" borderId="0" xfId="0" applyNumberFormat="1" applyFont="1">
      <alignment vertical="center"/>
    </xf>
    <xf numFmtId="6" fontId="14" fillId="0" borderId="0" xfId="2" applyFont="1" applyBorder="1" applyAlignment="1">
      <alignment vertical="center"/>
    </xf>
    <xf numFmtId="14" fontId="24" fillId="0" borderId="0" xfId="0" applyNumberFormat="1" applyFont="1">
      <alignment vertical="center"/>
    </xf>
    <xf numFmtId="176" fontId="32" fillId="0" borderId="0" xfId="0" applyNumberFormat="1" applyFont="1">
      <alignment vertical="center"/>
    </xf>
    <xf numFmtId="176" fontId="33" fillId="0" borderId="0" xfId="0" applyNumberFormat="1" applyFont="1">
      <alignment vertical="center"/>
    </xf>
    <xf numFmtId="176" fontId="33" fillId="0" borderId="0" xfId="0" applyNumberFormat="1" applyFont="1" applyAlignment="1">
      <alignment vertical="center" wrapText="1"/>
    </xf>
    <xf numFmtId="6" fontId="33" fillId="0" borderId="0" xfId="0" applyNumberFormat="1" applyFont="1">
      <alignment vertical="center"/>
    </xf>
    <xf numFmtId="14" fontId="34" fillId="0" borderId="1" xfId="0" applyNumberFormat="1" applyFont="1" applyBorder="1">
      <alignment vertical="center"/>
    </xf>
    <xf numFmtId="14" fontId="34" fillId="0" borderId="4" xfId="0" applyNumberFormat="1" applyFont="1" applyBorder="1">
      <alignment vertical="center"/>
    </xf>
    <xf numFmtId="14" fontId="34" fillId="0" borderId="6" xfId="0" applyNumberFormat="1" applyFont="1" applyBorder="1">
      <alignment vertical="center"/>
    </xf>
    <xf numFmtId="14" fontId="34" fillId="0" borderId="1" xfId="0" applyNumberFormat="1" applyFont="1" applyBorder="1" applyAlignment="1">
      <alignment vertical="center" wrapText="1"/>
    </xf>
    <xf numFmtId="0" fontId="34" fillId="0" borderId="1" xfId="0" applyFont="1" applyBorder="1">
      <alignment vertical="center"/>
    </xf>
    <xf numFmtId="176" fontId="20" fillId="0" borderId="6" xfId="3" applyNumberFormat="1" applyFont="1" applyFill="1" applyBorder="1" applyAlignment="1">
      <alignment horizontal="right" vertical="center"/>
    </xf>
    <xf numFmtId="176" fontId="20" fillId="0" borderId="1" xfId="3" applyNumberFormat="1" applyFont="1" applyFill="1" applyBorder="1" applyAlignment="1">
      <alignment horizontal="right" vertical="center"/>
    </xf>
    <xf numFmtId="176" fontId="20" fillId="0" borderId="8" xfId="3" applyNumberFormat="1" applyFont="1" applyFill="1" applyBorder="1" applyAlignment="1">
      <alignment horizontal="right" vertical="center"/>
    </xf>
    <xf numFmtId="176" fontId="20" fillId="0" borderId="4" xfId="3" applyNumberFormat="1" applyFont="1" applyFill="1" applyBorder="1" applyAlignment="1">
      <alignment horizontal="right" vertical="center"/>
    </xf>
    <xf numFmtId="38" fontId="20" fillId="0" borderId="1" xfId="4" applyFont="1" applyFill="1" applyBorder="1">
      <alignment vertical="center"/>
    </xf>
    <xf numFmtId="6" fontId="20" fillId="0" borderId="4" xfId="2" applyFont="1" applyFill="1" applyBorder="1">
      <alignment vertical="center"/>
    </xf>
    <xf numFmtId="176" fontId="20" fillId="0" borderId="6" xfId="2" applyNumberFormat="1" applyFont="1" applyFill="1" applyBorder="1">
      <alignment vertical="center"/>
    </xf>
    <xf numFmtId="176" fontId="20" fillId="0" borderId="1" xfId="2" applyNumberFormat="1" applyFont="1" applyFill="1" applyBorder="1">
      <alignment vertical="center"/>
    </xf>
    <xf numFmtId="176" fontId="20" fillId="0" borderId="1" xfId="2" applyNumberFormat="1" applyFont="1" applyFill="1" applyBorder="1" applyAlignment="1">
      <alignment horizontal="right" vertical="center"/>
    </xf>
    <xf numFmtId="6" fontId="20" fillId="0" borderId="6" xfId="2" applyFont="1" applyFill="1" applyBorder="1" applyAlignment="1">
      <alignment horizontal="right" vertical="center"/>
    </xf>
    <xf numFmtId="6" fontId="20" fillId="0" borderId="6" xfId="0" applyNumberFormat="1" applyFont="1" applyBorder="1">
      <alignment vertical="center"/>
    </xf>
    <xf numFmtId="178" fontId="20" fillId="0" borderId="1" xfId="2" applyNumberFormat="1" applyFont="1" applyFill="1" applyBorder="1">
      <alignment vertical="center"/>
    </xf>
    <xf numFmtId="6" fontId="20" fillId="0" borderId="5" xfId="2" applyFont="1" applyFill="1" applyBorder="1">
      <alignment vertical="center"/>
    </xf>
    <xf numFmtId="6" fontId="20" fillId="0" borderId="14" xfId="2" applyFont="1" applyFill="1" applyBorder="1">
      <alignment vertical="center"/>
    </xf>
    <xf numFmtId="6" fontId="20" fillId="0" borderId="28" xfId="2" applyFont="1" applyFill="1" applyBorder="1">
      <alignment vertical="center"/>
    </xf>
    <xf numFmtId="6" fontId="20" fillId="0" borderId="29" xfId="2" applyFont="1" applyFill="1" applyBorder="1">
      <alignment vertical="center"/>
    </xf>
    <xf numFmtId="6" fontId="20" fillId="0" borderId="27" xfId="2" applyFont="1" applyFill="1" applyBorder="1">
      <alignment vertical="center"/>
    </xf>
    <xf numFmtId="6" fontId="20" fillId="0" borderId="25" xfId="2" applyFont="1" applyFill="1" applyBorder="1">
      <alignment vertical="center"/>
    </xf>
    <xf numFmtId="6" fontId="20" fillId="0" borderId="27" xfId="2" applyFont="1" applyFill="1" applyBorder="1" applyAlignment="1">
      <alignment vertical="center"/>
    </xf>
    <xf numFmtId="6" fontId="20" fillId="0" borderId="16" xfId="2" applyFont="1" applyFill="1" applyBorder="1">
      <alignment vertical="center"/>
    </xf>
    <xf numFmtId="6" fontId="20" fillId="0" borderId="8" xfId="2" applyFont="1" applyFill="1" applyBorder="1">
      <alignment vertical="center"/>
    </xf>
    <xf numFmtId="6" fontId="20" fillId="0" borderId="3" xfId="2" applyFont="1" applyFill="1" applyBorder="1">
      <alignment vertical="center"/>
    </xf>
    <xf numFmtId="6" fontId="20" fillId="0" borderId="30" xfId="2" applyFont="1" applyFill="1" applyBorder="1">
      <alignment vertical="center"/>
    </xf>
    <xf numFmtId="6" fontId="20" fillId="0" borderId="6" xfId="0" applyNumberFormat="1" applyFont="1" applyBorder="1" applyAlignment="1">
      <alignment horizontal="right" vertical="center"/>
    </xf>
    <xf numFmtId="6" fontId="20" fillId="0" borderId="4" xfId="0" applyNumberFormat="1" applyFont="1" applyBorder="1" applyAlignment="1">
      <alignment horizontal="right" vertical="center"/>
    </xf>
    <xf numFmtId="6" fontId="20" fillId="0" borderId="1" xfId="0" applyNumberFormat="1" applyFont="1" applyBorder="1" applyAlignment="1">
      <alignment horizontal="right" vertical="center"/>
    </xf>
    <xf numFmtId="6" fontId="20" fillId="0" borderId="4" xfId="2" applyFont="1" applyFill="1" applyBorder="1" applyAlignment="1">
      <alignment horizontal="right" vertical="center"/>
    </xf>
    <xf numFmtId="6" fontId="20" fillId="0" borderId="30" xfId="2" applyFont="1" applyFill="1" applyBorder="1" applyAlignment="1">
      <alignment horizontal="right" vertical="center"/>
    </xf>
    <xf numFmtId="6" fontId="20" fillId="0" borderId="15" xfId="2" applyFont="1" applyFill="1" applyBorder="1">
      <alignment vertical="center"/>
    </xf>
    <xf numFmtId="38" fontId="20" fillId="0" borderId="5" xfId="4" applyFont="1" applyFill="1" applyBorder="1">
      <alignment vertical="center"/>
    </xf>
    <xf numFmtId="0" fontId="20" fillId="0" borderId="25" xfId="0" applyFont="1" applyBorder="1">
      <alignment vertical="center"/>
    </xf>
    <xf numFmtId="0" fontId="20" fillId="0" borderId="30" xfId="0" applyFont="1" applyBorder="1">
      <alignment vertical="center"/>
    </xf>
    <xf numFmtId="0" fontId="20" fillId="0" borderId="27" xfId="0" applyFont="1" applyBorder="1">
      <alignment vertical="center"/>
    </xf>
    <xf numFmtId="0" fontId="20" fillId="0" borderId="32" xfId="0" applyFont="1" applyBorder="1">
      <alignment vertical="center"/>
    </xf>
    <xf numFmtId="0" fontId="20" fillId="0" borderId="4" xfId="0" applyFont="1" applyBorder="1">
      <alignment vertical="center"/>
    </xf>
    <xf numFmtId="0" fontId="20" fillId="0" borderId="14" xfId="0" applyFont="1" applyBorder="1">
      <alignment vertical="center"/>
    </xf>
    <xf numFmtId="0" fontId="20" fillId="0" borderId="6" xfId="0" applyFont="1" applyBorder="1">
      <alignment vertical="center"/>
    </xf>
    <xf numFmtId="6" fontId="20" fillId="0" borderId="14" xfId="2" applyFont="1" applyFill="1" applyBorder="1" applyAlignment="1">
      <alignment horizontal="right" vertical="center"/>
    </xf>
    <xf numFmtId="6" fontId="20" fillId="0" borderId="5" xfId="2" applyFont="1" applyFill="1" applyBorder="1" applyAlignment="1">
      <alignment horizontal="right" vertical="center"/>
    </xf>
    <xf numFmtId="6" fontId="20" fillId="0" borderId="4" xfId="0" applyNumberFormat="1" applyFont="1" applyBorder="1">
      <alignment vertical="center"/>
    </xf>
    <xf numFmtId="6" fontId="20" fillId="0" borderId="27" xfId="0" applyNumberFormat="1" applyFont="1" applyBorder="1">
      <alignment vertical="center"/>
    </xf>
    <xf numFmtId="6" fontId="20" fillId="0" borderId="25" xfId="0" applyNumberFormat="1" applyFont="1" applyBorder="1">
      <alignment vertical="center"/>
    </xf>
    <xf numFmtId="8" fontId="20" fillId="0" borderId="0" xfId="0" applyNumberFormat="1" applyFont="1">
      <alignment vertical="center"/>
    </xf>
    <xf numFmtId="0" fontId="20" fillId="0" borderId="13" xfId="0" applyFont="1" applyBorder="1">
      <alignment vertical="center"/>
    </xf>
    <xf numFmtId="6" fontId="20" fillId="0" borderId="16" xfId="0" applyNumberFormat="1" applyFont="1" applyBorder="1">
      <alignment vertical="center"/>
    </xf>
    <xf numFmtId="6" fontId="20" fillId="0" borderId="8" xfId="0" applyNumberFormat="1" applyFont="1" applyBorder="1">
      <alignment vertical="center"/>
    </xf>
    <xf numFmtId="9" fontId="20" fillId="0" borderId="4" xfId="3" applyFont="1" applyFill="1" applyBorder="1">
      <alignment vertical="center"/>
    </xf>
    <xf numFmtId="9" fontId="20" fillId="0" borderId="16" xfId="3" applyFont="1" applyFill="1" applyBorder="1">
      <alignment vertical="center"/>
    </xf>
    <xf numFmtId="9" fontId="20" fillId="0" borderId="8" xfId="3" applyFont="1" applyFill="1" applyBorder="1">
      <alignment vertical="center"/>
    </xf>
    <xf numFmtId="9" fontId="20" fillId="0" borderId="1" xfId="0" applyNumberFormat="1" applyFont="1" applyBorder="1">
      <alignment vertical="center"/>
    </xf>
    <xf numFmtId="9" fontId="20" fillId="0" borderId="6" xfId="3" applyFont="1" applyFill="1" applyBorder="1">
      <alignment vertical="center"/>
    </xf>
    <xf numFmtId="38" fontId="20" fillId="0" borderId="1" xfId="0" applyNumberFormat="1" applyFont="1" applyBorder="1">
      <alignment vertical="center"/>
    </xf>
    <xf numFmtId="6" fontId="20" fillId="0" borderId="1" xfId="3" applyNumberFormat="1" applyFont="1" applyFill="1" applyBorder="1">
      <alignment vertical="center"/>
    </xf>
    <xf numFmtId="0" fontId="20" fillId="0" borderId="1" xfId="3" applyNumberFormat="1" applyFont="1" applyFill="1" applyBorder="1" applyAlignment="1">
      <alignment horizontal="right" vertical="center"/>
    </xf>
    <xf numFmtId="9" fontId="20" fillId="0" borderId="1" xfId="2" applyNumberFormat="1" applyFont="1" applyFill="1" applyBorder="1">
      <alignment vertical="center"/>
    </xf>
    <xf numFmtId="9" fontId="20" fillId="0" borderId="5" xfId="3" applyFont="1" applyFill="1" applyBorder="1">
      <alignment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6" fontId="20" fillId="0" borderId="0" xfId="0" applyNumberFormat="1" applyFont="1">
      <alignment vertical="center"/>
    </xf>
    <xf numFmtId="0" fontId="29" fillId="0" borderId="0" xfId="0" applyFont="1">
      <alignment vertical="center"/>
    </xf>
    <xf numFmtId="14" fontId="0" fillId="0" borderId="6" xfId="0" applyNumberFormat="1" applyBorder="1">
      <alignment vertical="center"/>
    </xf>
    <xf numFmtId="6" fontId="29" fillId="0" borderId="0" xfId="0" applyNumberFormat="1" applyFont="1">
      <alignment vertical="center"/>
    </xf>
    <xf numFmtId="6" fontId="20" fillId="0" borderId="0" xfId="2" applyFont="1" applyFill="1">
      <alignment vertical="center"/>
    </xf>
    <xf numFmtId="6" fontId="20" fillId="4" borderId="1" xfId="2" applyFont="1" applyFill="1" applyBorder="1">
      <alignment vertical="center"/>
    </xf>
    <xf numFmtId="6" fontId="20" fillId="4" borderId="1" xfId="0" applyNumberFormat="1" applyFont="1" applyFill="1" applyBorder="1">
      <alignment vertical="center"/>
    </xf>
    <xf numFmtId="0" fontId="1" fillId="0" borderId="0" xfId="0" applyFont="1">
      <alignment vertical="center"/>
    </xf>
    <xf numFmtId="6" fontId="20" fillId="4" borderId="6" xfId="2" applyFont="1" applyFill="1" applyBorder="1">
      <alignment vertical="center"/>
    </xf>
    <xf numFmtId="6" fontId="1" fillId="0" borderId="0" xfId="0" applyNumberFormat="1" applyFont="1">
      <alignment vertical="center"/>
    </xf>
    <xf numFmtId="6" fontId="20" fillId="16" borderId="1" xfId="2" applyFont="1" applyFill="1" applyBorder="1">
      <alignment vertical="center"/>
    </xf>
    <xf numFmtId="6" fontId="20" fillId="0" borderId="5" xfId="2" applyFont="1" applyFill="1" applyBorder="1" applyAlignment="1">
      <alignment horizontal="center" vertical="center"/>
    </xf>
    <xf numFmtId="6" fontId="20" fillId="0" borderId="8" xfId="2" applyFont="1" applyFill="1" applyBorder="1" applyAlignment="1">
      <alignment horizontal="center" vertical="center"/>
    </xf>
    <xf numFmtId="6" fontId="20" fillId="16" borderId="1" xfId="0" applyNumberFormat="1" applyFont="1" applyFill="1" applyBorder="1">
      <alignment vertical="center"/>
    </xf>
    <xf numFmtId="176" fontId="33" fillId="4" borderId="0" xfId="0" applyNumberFormat="1" applyFont="1" applyFill="1" applyAlignment="1">
      <alignment vertical="center" wrapText="1"/>
    </xf>
    <xf numFmtId="8" fontId="20" fillId="0" borderId="1" xfId="0" applyNumberFormat="1" applyFont="1" applyBorder="1">
      <alignment vertical="center"/>
    </xf>
    <xf numFmtId="6" fontId="34" fillId="0" borderId="1" xfId="2" applyFont="1" applyFill="1" applyBorder="1">
      <alignment vertical="center"/>
    </xf>
    <xf numFmtId="0" fontId="16" fillId="7" borderId="13" xfId="0" applyFont="1" applyFill="1" applyBorder="1" applyAlignment="1">
      <alignment horizontal="center" vertical="center" textRotation="255"/>
    </xf>
    <xf numFmtId="0" fontId="16" fillId="0" borderId="30" xfId="0" applyFont="1" applyBorder="1" applyAlignment="1">
      <alignment horizontal="center" vertical="center" wrapText="1"/>
    </xf>
    <xf numFmtId="6" fontId="20" fillId="0" borderId="5" xfId="0" applyNumberFormat="1" applyFont="1" applyBorder="1">
      <alignment vertical="center"/>
    </xf>
    <xf numFmtId="6" fontId="20" fillId="0" borderId="34" xfId="0" applyNumberFormat="1" applyFont="1" applyBorder="1">
      <alignment vertical="center"/>
    </xf>
    <xf numFmtId="6" fontId="20" fillId="0" borderId="3" xfId="0" applyNumberFormat="1" applyFont="1" applyBorder="1">
      <alignment vertical="center"/>
    </xf>
    <xf numFmtId="6" fontId="20" fillId="0" borderId="35" xfId="0" applyNumberFormat="1" applyFont="1" applyBorder="1">
      <alignment vertical="center"/>
    </xf>
    <xf numFmtId="6" fontId="20" fillId="0" borderId="11" xfId="0" applyNumberFormat="1" applyFont="1" applyBorder="1">
      <alignment vertical="center"/>
    </xf>
    <xf numFmtId="6" fontId="20" fillId="0" borderId="14" xfId="0" applyNumberFormat="1" applyFont="1" applyBorder="1">
      <alignment vertical="center"/>
    </xf>
    <xf numFmtId="6" fontId="20" fillId="0" borderId="37" xfId="0" applyNumberFormat="1" applyFont="1" applyBorder="1">
      <alignment vertical="center"/>
    </xf>
    <xf numFmtId="6" fontId="20" fillId="0" borderId="38" xfId="0" applyNumberFormat="1" applyFont="1" applyBorder="1">
      <alignment vertical="center"/>
    </xf>
    <xf numFmtId="6" fontId="20" fillId="0" borderId="39" xfId="0" applyNumberFormat="1" applyFont="1" applyBorder="1">
      <alignment vertical="center"/>
    </xf>
    <xf numFmtId="6" fontId="20" fillId="0" borderId="40" xfId="0" applyNumberFormat="1" applyFont="1" applyBorder="1">
      <alignment vertical="center"/>
    </xf>
    <xf numFmtId="38" fontId="20" fillId="0" borderId="41" xfId="4" applyFont="1" applyFill="1" applyBorder="1">
      <alignment vertical="center"/>
    </xf>
    <xf numFmtId="9" fontId="20" fillId="0" borderId="44" xfId="3" applyFont="1" applyFill="1" applyBorder="1">
      <alignment vertical="center"/>
    </xf>
    <xf numFmtId="9" fontId="20" fillId="0" borderId="45" xfId="3" applyFont="1" applyFill="1" applyBorder="1">
      <alignment vertical="center"/>
    </xf>
    <xf numFmtId="9" fontId="20" fillId="0" borderId="46" xfId="3" applyFont="1" applyFill="1" applyBorder="1">
      <alignment vertical="center"/>
    </xf>
    <xf numFmtId="9" fontId="20" fillId="0" borderId="47" xfId="0" applyNumberFormat="1" applyFont="1" applyBorder="1">
      <alignment vertical="center"/>
    </xf>
    <xf numFmtId="6" fontId="20" fillId="0" borderId="41" xfId="0" applyNumberFormat="1" applyFont="1" applyBorder="1">
      <alignment vertical="center"/>
    </xf>
    <xf numFmtId="9" fontId="20" fillId="0" borderId="51" xfId="3" applyFont="1" applyFill="1" applyBorder="1">
      <alignment vertical="center"/>
    </xf>
    <xf numFmtId="9" fontId="20" fillId="0" borderId="47" xfId="3" applyFont="1" applyFill="1" applyBorder="1">
      <alignment vertical="center"/>
    </xf>
    <xf numFmtId="9" fontId="20" fillId="0" borderId="5" xfId="3" applyFont="1" applyFill="1" applyBorder="1" applyAlignment="1">
      <alignment horizontal="right" vertical="center"/>
    </xf>
    <xf numFmtId="6" fontId="20" fillId="0" borderId="37" xfId="0" applyNumberFormat="1" applyFont="1" applyBorder="1" applyAlignment="1">
      <alignment horizontal="right" vertical="center"/>
    </xf>
    <xf numFmtId="9" fontId="20" fillId="0" borderId="53" xfId="3" applyFont="1" applyFill="1" applyBorder="1">
      <alignment vertical="center"/>
    </xf>
    <xf numFmtId="0" fontId="16" fillId="7" borderId="54" xfId="0" applyFont="1" applyFill="1" applyBorder="1" applyAlignment="1">
      <alignment horizontal="center" vertical="center" textRotation="255"/>
    </xf>
    <xf numFmtId="6" fontId="20" fillId="0" borderId="53" xfId="3" applyNumberFormat="1" applyFont="1" applyFill="1" applyBorder="1">
      <alignment vertical="center"/>
    </xf>
    <xf numFmtId="0" fontId="16" fillId="7" borderId="55" xfId="0" applyFont="1" applyFill="1" applyBorder="1" applyAlignment="1">
      <alignment horizontal="center" vertical="center" textRotation="255"/>
    </xf>
    <xf numFmtId="0" fontId="1" fillId="7" borderId="56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6" fontId="1" fillId="4" borderId="0" xfId="0" applyNumberFormat="1" applyFont="1" applyFill="1">
      <alignment vertical="center"/>
    </xf>
    <xf numFmtId="6" fontId="0" fillId="0" borderId="0" xfId="2" applyFont="1">
      <alignment vertical="center"/>
    </xf>
    <xf numFmtId="6" fontId="13" fillId="0" borderId="6" xfId="2" applyFill="1" applyBorder="1">
      <alignment vertical="center"/>
    </xf>
    <xf numFmtId="176" fontId="32" fillId="0" borderId="0" xfId="0" applyNumberFormat="1" applyFont="1" applyAlignment="1">
      <alignment vertical="center" wrapText="1"/>
    </xf>
    <xf numFmtId="6" fontId="27" fillId="0" borderId="1" xfId="0" applyNumberFormat="1" applyFont="1" applyBorder="1">
      <alignment vertical="center"/>
    </xf>
    <xf numFmtId="6" fontId="20" fillId="0" borderId="13" xfId="2" applyFont="1" applyFill="1" applyBorder="1">
      <alignment vertical="center"/>
    </xf>
    <xf numFmtId="0" fontId="1" fillId="6" borderId="5" xfId="0" applyFont="1" applyFill="1" applyBorder="1" applyAlignment="1">
      <alignment horizontal="left" vertical="center" wrapText="1"/>
    </xf>
    <xf numFmtId="6" fontId="20" fillId="0" borderId="0" xfId="2" applyFont="1" applyFill="1" applyBorder="1" applyAlignment="1">
      <alignment horizontal="right" vertical="center"/>
    </xf>
    <xf numFmtId="6" fontId="20" fillId="0" borderId="13" xfId="2" applyFont="1" applyFill="1" applyBorder="1" applyAlignment="1">
      <alignment horizontal="right" vertical="center"/>
    </xf>
    <xf numFmtId="6" fontId="20" fillId="0" borderId="5" xfId="3" applyNumberFormat="1" applyFont="1" applyFill="1" applyBorder="1">
      <alignment vertical="center"/>
    </xf>
    <xf numFmtId="0" fontId="34" fillId="0" borderId="6" xfId="0" applyFont="1" applyBorder="1">
      <alignment vertical="center"/>
    </xf>
    <xf numFmtId="0" fontId="20" fillId="0" borderId="28" xfId="0" applyFont="1" applyBorder="1">
      <alignment vertical="center"/>
    </xf>
    <xf numFmtId="6" fontId="20" fillId="4" borderId="10" xfId="0" applyNumberFormat="1" applyFont="1" applyFill="1" applyBorder="1">
      <alignment vertical="center"/>
    </xf>
    <xf numFmtId="6" fontId="20" fillId="4" borderId="33" xfId="0" applyNumberFormat="1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6" fontId="20" fillId="0" borderId="17" xfId="0" applyNumberFormat="1" applyFont="1" applyBorder="1" applyAlignment="1">
      <alignment horizontal="center" vertical="center"/>
    </xf>
    <xf numFmtId="6" fontId="20" fillId="0" borderId="18" xfId="0" applyNumberFormat="1" applyFont="1" applyBorder="1" applyAlignment="1">
      <alignment horizontal="center" vertical="center"/>
    </xf>
    <xf numFmtId="6" fontId="20" fillId="0" borderId="5" xfId="0" applyNumberFormat="1" applyFont="1" applyBorder="1" applyAlignment="1">
      <alignment horizontal="right" vertical="center"/>
    </xf>
    <xf numFmtId="6" fontId="20" fillId="0" borderId="8" xfId="0" applyNumberFormat="1" applyFont="1" applyBorder="1" applyAlignment="1">
      <alignment horizontal="right" vertical="center"/>
    </xf>
    <xf numFmtId="6" fontId="20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6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6" fontId="20" fillId="0" borderId="5" xfId="2" applyFont="1" applyFill="1" applyBorder="1" applyAlignment="1">
      <alignment horizontal="center" vertical="center"/>
    </xf>
    <xf numFmtId="6" fontId="20" fillId="0" borderId="8" xfId="2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6" fontId="20" fillId="0" borderId="5" xfId="0" applyNumberFormat="1" applyFont="1" applyBorder="1" applyAlignment="1">
      <alignment horizontal="center" vertical="center"/>
    </xf>
    <xf numFmtId="6" fontId="20" fillId="0" borderId="8" xfId="0" applyNumberFormat="1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8" xfId="0" applyNumberFormat="1" applyFont="1" applyBorder="1" applyAlignment="1">
      <alignment horizontal="center" vertical="center"/>
    </xf>
    <xf numFmtId="6" fontId="20" fillId="13" borderId="5" xfId="2" applyFont="1" applyFill="1" applyBorder="1" applyAlignment="1">
      <alignment horizontal="center" vertical="center"/>
    </xf>
    <xf numFmtId="6" fontId="20" fillId="13" borderId="8" xfId="2" applyFont="1" applyFill="1" applyBorder="1" applyAlignment="1">
      <alignment horizontal="center" vertical="center"/>
    </xf>
    <xf numFmtId="14" fontId="20" fillId="0" borderId="5" xfId="2" applyNumberFormat="1" applyFont="1" applyFill="1" applyBorder="1" applyAlignment="1">
      <alignment horizontal="center" vertical="center"/>
    </xf>
    <xf numFmtId="14" fontId="20" fillId="0" borderId="8" xfId="2" applyNumberFormat="1" applyFont="1" applyFill="1" applyBorder="1" applyAlignment="1">
      <alignment horizontal="center" vertical="center"/>
    </xf>
    <xf numFmtId="14" fontId="20" fillId="13" borderId="5" xfId="0" applyNumberFormat="1" applyFont="1" applyFill="1" applyBorder="1" applyAlignment="1">
      <alignment horizontal="center" vertical="center"/>
    </xf>
    <xf numFmtId="14" fontId="20" fillId="13" borderId="8" xfId="0" applyNumberFormat="1" applyFont="1" applyFill="1" applyBorder="1" applyAlignment="1">
      <alignment horizontal="center" vertical="center"/>
    </xf>
    <xf numFmtId="6" fontId="20" fillId="13" borderId="5" xfId="0" applyNumberFormat="1" applyFont="1" applyFill="1" applyBorder="1" applyAlignment="1">
      <alignment horizontal="center" vertical="center"/>
    </xf>
    <xf numFmtId="6" fontId="27" fillId="0" borderId="8" xfId="0" applyNumberFormat="1" applyFont="1" applyBorder="1" applyAlignment="1">
      <alignment horizontal="center" vertical="center"/>
    </xf>
    <xf numFmtId="6" fontId="27" fillId="0" borderId="1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left" vertical="center" wrapText="1"/>
    </xf>
    <xf numFmtId="0" fontId="20" fillId="7" borderId="15" xfId="0" applyFont="1" applyFill="1" applyBorder="1" applyAlignment="1">
      <alignment horizontal="left" vertical="center" wrapText="1"/>
    </xf>
    <xf numFmtId="0" fontId="20" fillId="7" borderId="3" xfId="0" applyFont="1" applyFill="1" applyBorder="1" applyAlignment="1">
      <alignment horizontal="left" vertical="center"/>
    </xf>
    <xf numFmtId="0" fontId="20" fillId="7" borderId="14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 vertical="center"/>
    </xf>
    <xf numFmtId="0" fontId="20" fillId="7" borderId="16" xfId="0" applyFont="1" applyFill="1" applyBorder="1" applyAlignment="1">
      <alignment horizontal="left" vertical="center"/>
    </xf>
    <xf numFmtId="0" fontId="27" fillId="7" borderId="3" xfId="0" applyFont="1" applyFill="1" applyBorder="1" applyAlignment="1">
      <alignment horizontal="left" vertical="center"/>
    </xf>
    <xf numFmtId="0" fontId="27" fillId="7" borderId="14" xfId="0" applyFont="1" applyFill="1" applyBorder="1" applyAlignment="1">
      <alignment horizontal="left" vertical="center"/>
    </xf>
    <xf numFmtId="0" fontId="27" fillId="7" borderId="15" xfId="0" applyFont="1" applyFill="1" applyBorder="1" applyAlignment="1">
      <alignment horizontal="left" vertical="center"/>
    </xf>
    <xf numFmtId="0" fontId="27" fillId="7" borderId="16" xfId="0" applyFont="1" applyFill="1" applyBorder="1" applyAlignment="1">
      <alignment horizontal="left" vertical="center"/>
    </xf>
    <xf numFmtId="0" fontId="27" fillId="7" borderId="2" xfId="0" applyFont="1" applyFill="1" applyBorder="1" applyAlignment="1">
      <alignment horizontal="left" vertical="center"/>
    </xf>
    <xf numFmtId="0" fontId="27" fillId="7" borderId="31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center" vertical="center" textRotation="255"/>
    </xf>
    <xf numFmtId="0" fontId="16" fillId="7" borderId="52" xfId="0" applyFont="1" applyFill="1" applyBorder="1" applyAlignment="1">
      <alignment horizontal="center" vertical="center" textRotation="255"/>
    </xf>
    <xf numFmtId="0" fontId="16" fillId="7" borderId="37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20" fillId="7" borderId="14" xfId="0" applyFont="1" applyFill="1" applyBorder="1" applyAlignment="1">
      <alignment horizontal="left" vertical="center" wrapText="1"/>
    </xf>
    <xf numFmtId="0" fontId="20" fillId="7" borderId="16" xfId="0" applyFont="1" applyFill="1" applyBorder="1" applyAlignment="1">
      <alignment horizontal="left" vertical="center" wrapText="1"/>
    </xf>
    <xf numFmtId="0" fontId="20" fillId="7" borderId="7" xfId="0" applyFont="1" applyFill="1" applyBorder="1" applyAlignment="1">
      <alignment horizontal="left" vertical="center" wrapText="1"/>
    </xf>
    <xf numFmtId="0" fontId="20" fillId="7" borderId="19" xfId="0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textRotation="255"/>
    </xf>
    <xf numFmtId="0" fontId="16" fillId="6" borderId="1" xfId="0" applyFont="1" applyFill="1" applyBorder="1" applyAlignment="1">
      <alignment horizontal="center" vertical="center" textRotation="255"/>
    </xf>
    <xf numFmtId="0" fontId="16" fillId="6" borderId="4" xfId="0" applyFont="1" applyFill="1" applyBorder="1" applyAlignment="1">
      <alignment horizontal="center" vertical="center" textRotation="255"/>
    </xf>
    <xf numFmtId="0" fontId="16" fillId="6" borderId="3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10" borderId="35" xfId="0" applyFont="1" applyFill="1" applyBorder="1" applyAlignment="1">
      <alignment horizontal="center" vertical="center"/>
    </xf>
    <xf numFmtId="0" fontId="16" fillId="10" borderId="36" xfId="0" applyFont="1" applyFill="1" applyBorder="1" applyAlignment="1">
      <alignment horizontal="center" vertical="center"/>
    </xf>
    <xf numFmtId="0" fontId="16" fillId="10" borderId="42" xfId="0" applyFont="1" applyFill="1" applyBorder="1" applyAlignment="1">
      <alignment horizontal="center" vertical="center"/>
    </xf>
    <xf numFmtId="0" fontId="16" fillId="10" borderId="43" xfId="0" applyFont="1" applyFill="1" applyBorder="1" applyAlignment="1">
      <alignment horizontal="center" vertical="center"/>
    </xf>
    <xf numFmtId="0" fontId="16" fillId="11" borderId="48" xfId="0" applyFont="1" applyFill="1" applyBorder="1" applyAlignment="1">
      <alignment horizontal="center" vertical="center" wrapText="1"/>
    </xf>
    <xf numFmtId="0" fontId="16" fillId="11" borderId="49" xfId="0" applyFont="1" applyFill="1" applyBorder="1" applyAlignment="1">
      <alignment horizontal="center" vertical="center" wrapText="1"/>
    </xf>
    <xf numFmtId="0" fontId="16" fillId="11" borderId="37" xfId="0" applyFont="1" applyFill="1" applyBorder="1" applyAlignment="1">
      <alignment horizontal="center" vertical="center"/>
    </xf>
    <xf numFmtId="0" fontId="16" fillId="11" borderId="40" xfId="0" applyFont="1" applyFill="1" applyBorder="1" applyAlignment="1">
      <alignment horizontal="center" vertical="center"/>
    </xf>
    <xf numFmtId="0" fontId="16" fillId="11" borderId="44" xfId="0" applyFont="1" applyFill="1" applyBorder="1" applyAlignment="1">
      <alignment horizontal="center" vertical="center"/>
    </xf>
    <xf numFmtId="0" fontId="16" fillId="11" borderId="5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textRotation="255"/>
    </xf>
    <xf numFmtId="0" fontId="16" fillId="7" borderId="13" xfId="0" applyFont="1" applyFill="1" applyBorder="1" applyAlignment="1">
      <alignment horizontal="center" vertical="center" textRotation="255"/>
    </xf>
    <xf numFmtId="0" fontId="16" fillId="7" borderId="8" xfId="0" applyFont="1" applyFill="1" applyBorder="1" applyAlignment="1">
      <alignment horizontal="center" vertical="center" textRotation="255"/>
    </xf>
    <xf numFmtId="0" fontId="16" fillId="7" borderId="8" xfId="0" applyFont="1" applyFill="1" applyBorder="1" applyAlignment="1">
      <alignment horizontal="left" vertical="center"/>
    </xf>
    <xf numFmtId="0" fontId="16" fillId="7" borderId="15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6" fontId="27" fillId="0" borderId="3" xfId="0" applyNumberFormat="1" applyFont="1" applyBorder="1" applyAlignment="1">
      <alignment horizontal="center" vertical="center"/>
    </xf>
    <xf numFmtId="6" fontId="27" fillId="0" borderId="7" xfId="0" applyNumberFormat="1" applyFont="1" applyBorder="1" applyAlignment="1">
      <alignment horizontal="center" vertical="center"/>
    </xf>
    <xf numFmtId="6" fontId="27" fillId="0" borderId="14" xfId="0" applyNumberFormat="1" applyFont="1" applyBorder="1" applyAlignment="1">
      <alignment horizontal="center" vertical="center"/>
    </xf>
    <xf numFmtId="6" fontId="27" fillId="0" borderId="15" xfId="0" applyNumberFormat="1" applyFont="1" applyBorder="1" applyAlignment="1">
      <alignment horizontal="center" vertical="center"/>
    </xf>
    <xf numFmtId="6" fontId="27" fillId="0" borderId="19" xfId="0" applyNumberFormat="1" applyFont="1" applyBorder="1" applyAlignment="1">
      <alignment horizontal="center" vertical="center"/>
    </xf>
    <xf numFmtId="6" fontId="27" fillId="0" borderId="16" xfId="0" applyNumberFormat="1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textRotation="255"/>
    </xf>
    <xf numFmtId="0" fontId="16" fillId="9" borderId="1" xfId="0" applyFont="1" applyFill="1" applyBorder="1" applyAlignment="1">
      <alignment horizontal="center" vertical="center" wrapText="1"/>
    </xf>
    <xf numFmtId="6" fontId="20" fillId="0" borderId="12" xfId="0" applyNumberFormat="1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textRotation="255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textRotation="255"/>
    </xf>
    <xf numFmtId="0" fontId="16" fillId="6" borderId="4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textRotation="255"/>
    </xf>
    <xf numFmtId="6" fontId="27" fillId="0" borderId="5" xfId="0" applyNumberFormat="1" applyFont="1" applyBorder="1" applyAlignment="1">
      <alignment horizontal="center" vertical="center"/>
    </xf>
    <xf numFmtId="6" fontId="27" fillId="0" borderId="23" xfId="0" applyNumberFormat="1" applyFont="1" applyBorder="1" applyAlignment="1">
      <alignment horizontal="center" vertical="center"/>
    </xf>
    <xf numFmtId="6" fontId="27" fillId="0" borderId="24" xfId="0" applyNumberFormat="1" applyFont="1" applyBorder="1" applyAlignment="1">
      <alignment horizontal="center" vertical="center"/>
    </xf>
    <xf numFmtId="14" fontId="20" fillId="9" borderId="5" xfId="0" applyNumberFormat="1" applyFont="1" applyFill="1" applyBorder="1" applyAlignment="1">
      <alignment horizontal="center" vertical="center"/>
    </xf>
    <xf numFmtId="14" fontId="20" fillId="9" borderId="8" xfId="0" applyNumberFormat="1" applyFont="1" applyFill="1" applyBorder="1" applyAlignment="1">
      <alignment horizontal="center" vertical="center"/>
    </xf>
    <xf numFmtId="6" fontId="20" fillId="9" borderId="5" xfId="2" applyFont="1" applyFill="1" applyBorder="1" applyAlignment="1">
      <alignment horizontal="center" vertical="center"/>
    </xf>
    <xf numFmtId="6" fontId="20" fillId="9" borderId="8" xfId="2" applyFont="1" applyFill="1" applyBorder="1" applyAlignment="1">
      <alignment horizontal="center" vertical="center"/>
    </xf>
    <xf numFmtId="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20" fillId="0" borderId="1" xfId="2" applyFont="1" applyFill="1" applyBorder="1" applyAlignment="1">
      <alignment horizontal="center" vertical="center"/>
    </xf>
    <xf numFmtId="6" fontId="20" fillId="15" borderId="5" xfId="0" applyNumberFormat="1" applyFont="1" applyFill="1" applyBorder="1" applyAlignment="1">
      <alignment horizontal="center" vertical="center"/>
    </xf>
    <xf numFmtId="14" fontId="20" fillId="15" borderId="8" xfId="0" applyNumberFormat="1" applyFont="1" applyFill="1" applyBorder="1" applyAlignment="1">
      <alignment horizontal="center" vertical="center"/>
    </xf>
    <xf numFmtId="14" fontId="20" fillId="15" borderId="5" xfId="0" applyNumberFormat="1" applyFont="1" applyFill="1" applyBorder="1" applyAlignment="1">
      <alignment horizontal="center" vertical="center"/>
    </xf>
    <xf numFmtId="6" fontId="20" fillId="7" borderId="5" xfId="2" applyFont="1" applyFill="1" applyBorder="1" applyAlignment="1">
      <alignment horizontal="center" vertical="center"/>
    </xf>
    <xf numFmtId="6" fontId="20" fillId="7" borderId="8" xfId="2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14" fontId="20" fillId="7" borderId="8" xfId="0" applyNumberFormat="1" applyFont="1" applyFill="1" applyBorder="1" applyAlignment="1">
      <alignment horizontal="center" vertical="center"/>
    </xf>
    <xf numFmtId="6" fontId="20" fillId="15" borderId="5" xfId="2" applyFont="1" applyFill="1" applyBorder="1" applyAlignment="1">
      <alignment horizontal="center" vertical="center"/>
    </xf>
    <xf numFmtId="6" fontId="20" fillId="15" borderId="8" xfId="2" applyFont="1" applyFill="1" applyBorder="1" applyAlignment="1">
      <alignment horizontal="center" vertical="center"/>
    </xf>
    <xf numFmtId="6" fontId="20" fillId="4" borderId="1" xfId="2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6" fontId="20" fillId="7" borderId="5" xfId="0" applyNumberFormat="1" applyFont="1" applyFill="1" applyBorder="1" applyAlignment="1">
      <alignment horizontal="center" vertical="center"/>
    </xf>
    <xf numFmtId="6" fontId="27" fillId="0" borderId="4" xfId="0" applyNumberFormat="1" applyFont="1" applyBorder="1" applyAlignment="1">
      <alignment horizontal="center" vertical="center"/>
    </xf>
    <xf numFmtId="6" fontId="27" fillId="0" borderId="21" xfId="0" applyNumberFormat="1" applyFont="1" applyBorder="1" applyAlignment="1">
      <alignment horizontal="center" vertical="center"/>
    </xf>
    <xf numFmtId="6" fontId="27" fillId="0" borderId="22" xfId="0" applyNumberFormat="1" applyFont="1" applyBorder="1" applyAlignment="1">
      <alignment horizontal="center" vertical="center"/>
    </xf>
    <xf numFmtId="6" fontId="27" fillId="0" borderId="11" xfId="0" applyNumberFormat="1" applyFont="1" applyBorder="1" applyAlignment="1">
      <alignment horizontal="center" vertical="center"/>
    </xf>
    <xf numFmtId="6" fontId="27" fillId="0" borderId="12" xfId="0" applyNumberFormat="1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14" fontId="16" fillId="0" borderId="5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6" fontId="16" fillId="0" borderId="5" xfId="2" applyFont="1" applyFill="1" applyBorder="1" applyAlignment="1">
      <alignment horizontal="center" vertical="center"/>
    </xf>
    <xf numFmtId="6" fontId="16" fillId="0" borderId="8" xfId="2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13" borderId="5" xfId="0" applyNumberFormat="1" applyFont="1" applyFill="1" applyBorder="1" applyAlignment="1">
      <alignment horizontal="center" vertical="center"/>
    </xf>
    <xf numFmtId="14" fontId="16" fillId="13" borderId="8" xfId="0" applyNumberFormat="1" applyFont="1" applyFill="1" applyBorder="1" applyAlignment="1">
      <alignment horizontal="center" vertical="center"/>
    </xf>
    <xf numFmtId="6" fontId="21" fillId="0" borderId="1" xfId="0" applyNumberFormat="1" applyFont="1" applyBorder="1" applyAlignment="1">
      <alignment horizontal="center" vertical="center"/>
    </xf>
    <xf numFmtId="6" fontId="16" fillId="0" borderId="1" xfId="2" applyFont="1" applyFill="1" applyBorder="1" applyAlignment="1">
      <alignment horizontal="center" vertical="center"/>
    </xf>
    <xf numFmtId="6" fontId="16" fillId="0" borderId="1" xfId="0" applyNumberFormat="1" applyFont="1" applyBorder="1" applyAlignment="1">
      <alignment horizontal="center" vertical="center"/>
    </xf>
    <xf numFmtId="6" fontId="16" fillId="13" borderId="1" xfId="2" applyFont="1" applyFill="1" applyBorder="1" applyAlignment="1">
      <alignment horizontal="center" vertical="center"/>
    </xf>
    <xf numFmtId="6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6" fontId="16" fillId="0" borderId="5" xfId="0" applyNumberFormat="1" applyFont="1" applyBorder="1" applyAlignment="1">
      <alignment horizontal="right" vertical="center"/>
    </xf>
    <xf numFmtId="6" fontId="16" fillId="0" borderId="8" xfId="0" applyNumberFormat="1" applyFont="1" applyBorder="1" applyAlignment="1">
      <alignment horizontal="right" vertical="center"/>
    </xf>
    <xf numFmtId="6" fontId="16" fillId="0" borderId="18" xfId="0" applyNumberFormat="1" applyFont="1" applyBorder="1" applyAlignment="1">
      <alignment horizontal="center" vertical="center"/>
    </xf>
    <xf numFmtId="6" fontId="16" fillId="0" borderId="12" xfId="0" applyNumberFormat="1" applyFont="1" applyBorder="1" applyAlignment="1">
      <alignment horizontal="center" vertical="center"/>
    </xf>
    <xf numFmtId="6" fontId="16" fillId="0" borderId="17" xfId="0" applyNumberFormat="1" applyFont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6" fontId="16" fillId="13" borderId="5" xfId="2" applyFont="1" applyFill="1" applyBorder="1" applyAlignment="1">
      <alignment horizontal="center" vertical="center"/>
    </xf>
    <xf numFmtId="6" fontId="16" fillId="13" borderId="8" xfId="2" applyFont="1" applyFill="1" applyBorder="1" applyAlignment="1">
      <alignment horizontal="center" vertical="center"/>
    </xf>
    <xf numFmtId="6" fontId="21" fillId="0" borderId="5" xfId="0" applyNumberFormat="1" applyFont="1" applyBorder="1" applyAlignment="1">
      <alignment horizontal="center" vertical="center"/>
    </xf>
    <xf numFmtId="6" fontId="21" fillId="0" borderId="8" xfId="0" applyNumberFormat="1" applyFont="1" applyBorder="1" applyAlignment="1">
      <alignment horizontal="center" vertical="center"/>
    </xf>
    <xf numFmtId="6" fontId="21" fillId="0" borderId="11" xfId="0" applyNumberFormat="1" applyFont="1" applyBorder="1" applyAlignment="1">
      <alignment horizontal="center" vertical="center"/>
    </xf>
    <xf numFmtId="6" fontId="21" fillId="0" borderId="12" xfId="0" applyNumberFormat="1" applyFont="1" applyBorder="1" applyAlignment="1">
      <alignment horizontal="center" vertical="center"/>
    </xf>
    <xf numFmtId="6" fontId="21" fillId="0" borderId="23" xfId="0" applyNumberFormat="1" applyFont="1" applyBorder="1" applyAlignment="1">
      <alignment horizontal="center" vertical="center"/>
    </xf>
    <xf numFmtId="6" fontId="21" fillId="0" borderId="24" xfId="0" applyNumberFormat="1" applyFont="1" applyBorder="1" applyAlignment="1">
      <alignment horizontal="center" vertical="center"/>
    </xf>
    <xf numFmtId="6" fontId="21" fillId="0" borderId="21" xfId="0" applyNumberFormat="1" applyFont="1" applyBorder="1" applyAlignment="1">
      <alignment horizontal="center" vertical="center"/>
    </xf>
    <xf numFmtId="6" fontId="21" fillId="0" borderId="22" xfId="0" applyNumberFormat="1" applyFont="1" applyBorder="1" applyAlignment="1">
      <alignment horizontal="center" vertical="center"/>
    </xf>
    <xf numFmtId="6" fontId="21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255"/>
    </xf>
    <xf numFmtId="0" fontId="16" fillId="6" borderId="14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6" fontId="1" fillId="0" borderId="1" xfId="2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6" fontId="1" fillId="0" borderId="5" xfId="0" applyNumberFormat="1" applyFont="1" applyBorder="1" applyAlignment="1">
      <alignment horizontal="right" vertical="center"/>
    </xf>
    <xf numFmtId="6" fontId="1" fillId="0" borderId="8" xfId="0" applyNumberFormat="1" applyFont="1" applyBorder="1" applyAlignment="1">
      <alignment horizontal="right" vertical="center"/>
    </xf>
    <xf numFmtId="6" fontId="1" fillId="0" borderId="5" xfId="2" applyFont="1" applyFill="1" applyBorder="1" applyAlignment="1">
      <alignment horizontal="center" vertical="center"/>
    </xf>
    <xf numFmtId="6" fontId="1" fillId="0" borderId="8" xfId="2" applyFont="1" applyFill="1" applyBorder="1" applyAlignment="1">
      <alignment horizontal="center" vertical="center"/>
    </xf>
    <xf numFmtId="6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6" fontId="1" fillId="0" borderId="5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textRotation="255"/>
    </xf>
    <xf numFmtId="0" fontId="1" fillId="7" borderId="13" xfId="0" applyFont="1" applyFill="1" applyBorder="1" applyAlignment="1">
      <alignment horizontal="center" vertical="center" textRotation="255"/>
    </xf>
    <xf numFmtId="0" fontId="1" fillId="7" borderId="8" xfId="0" applyFont="1" applyFill="1" applyBorder="1" applyAlignment="1">
      <alignment horizontal="center" vertical="center" textRotation="255"/>
    </xf>
    <xf numFmtId="0" fontId="18" fillId="7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6" fontId="1" fillId="0" borderId="8" xfId="0" applyNumberFormat="1" applyFont="1" applyBorder="1" applyAlignment="1">
      <alignment horizontal="center" vertical="center"/>
    </xf>
    <xf numFmtId="6" fontId="1" fillId="0" borderId="5" xfId="1" applyNumberFormat="1" applyFont="1" applyFill="1" applyBorder="1" applyAlignment="1">
      <alignment horizontal="center" vertical="center"/>
    </xf>
    <xf numFmtId="6" fontId="1" fillId="0" borderId="8" xfId="1" applyNumberFormat="1" applyFont="1" applyFill="1" applyBorder="1" applyAlignment="1">
      <alignment horizontal="center" vertical="center"/>
    </xf>
    <xf numFmtId="14" fontId="1" fillId="0" borderId="5" xfId="2" applyNumberFormat="1" applyFont="1" applyFill="1" applyBorder="1" applyAlignment="1">
      <alignment horizontal="center" vertical="center"/>
    </xf>
    <xf numFmtId="14" fontId="1" fillId="0" borderId="8" xfId="2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255"/>
    </xf>
    <xf numFmtId="0" fontId="0" fillId="2" borderId="13" xfId="0" applyFill="1" applyBorder="1" applyAlignment="1">
      <alignment horizontal="center" vertical="center" textRotation="255"/>
    </xf>
    <xf numFmtId="0" fontId="0" fillId="2" borderId="8" xfId="0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12" borderId="1" xfId="0" applyFill="1" applyBorder="1" applyAlignment="1">
      <alignment horizontal="center" vertical="center"/>
    </xf>
    <xf numFmtId="6" fontId="0" fillId="0" borderId="1" xfId="2" applyFon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13" fillId="0" borderId="1" xfId="2" applyFont="1" applyBorder="1" applyAlignment="1">
      <alignment horizontal="center" vertical="center"/>
    </xf>
    <xf numFmtId="6" fontId="13" fillId="0" borderId="1" xfId="2" applyFont="1" applyFill="1" applyBorder="1" applyAlignment="1">
      <alignment horizontal="center" vertical="center"/>
    </xf>
    <xf numFmtId="13" fontId="13" fillId="0" borderId="1" xfId="2" applyNumberFormat="1" applyFont="1" applyBorder="1" applyAlignment="1">
      <alignment horizontal="center" vertical="center"/>
    </xf>
    <xf numFmtId="6" fontId="0" fillId="0" borderId="5" xfId="2" applyFont="1" applyBorder="1" applyAlignment="1">
      <alignment horizontal="center" vertical="center"/>
    </xf>
    <xf numFmtId="6" fontId="0" fillId="0" borderId="8" xfId="2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8">
    <cellStyle name="パーセント" xfId="3" builtinId="5"/>
    <cellStyle name="桁区切り" xfId="4" builtinId="6"/>
    <cellStyle name="通貨" xfId="2" builtinId="7"/>
    <cellStyle name="通貨 [0.00]" xfId="1" builtinId="4"/>
    <cellStyle name="通貨 2" xfId="5" xr:uid="{00000000-0005-0000-0000-000005000000}"/>
    <cellStyle name="通貨 2 2" xfId="6" xr:uid="{00000000-0005-0000-0000-000006000000}"/>
    <cellStyle name="通貨 3" xfId="7" xr:uid="{00000000-0005-0000-0000-000007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028A-2F70-4EAF-AC82-9C4F033756EF}">
  <sheetPr>
    <tabColor rgb="FFFF0066"/>
  </sheetPr>
  <dimension ref="A1:D18"/>
  <sheetViews>
    <sheetView workbookViewId="0">
      <selection activeCell="M32" sqref="M32"/>
    </sheetView>
  </sheetViews>
  <sheetFormatPr defaultRowHeight="13.5"/>
  <cols>
    <col min="2" max="2" width="13.625" customWidth="1"/>
    <col min="4" max="4" width="14.875" customWidth="1"/>
  </cols>
  <sheetData>
    <row r="1" spans="1:4">
      <c r="A1" t="s">
        <v>265</v>
      </c>
      <c r="B1" s="347">
        <v>24895867</v>
      </c>
      <c r="C1" t="s">
        <v>266</v>
      </c>
      <c r="D1" s="2">
        <f>B1</f>
        <v>24895867</v>
      </c>
    </row>
    <row r="2" spans="1:4">
      <c r="A2" t="s">
        <v>267</v>
      </c>
      <c r="B2" s="347">
        <v>1309474</v>
      </c>
      <c r="C2" t="s">
        <v>268</v>
      </c>
      <c r="D2" s="2">
        <f>B2-24439</f>
        <v>1285035</v>
      </c>
    </row>
    <row r="3" spans="1:4">
      <c r="A3" t="s">
        <v>269</v>
      </c>
      <c r="B3" s="347">
        <v>10995678</v>
      </c>
      <c r="C3" t="s">
        <v>266</v>
      </c>
      <c r="D3" s="2">
        <f t="shared" ref="D3:D9" si="0">B3</f>
        <v>10995678</v>
      </c>
    </row>
    <row r="4" spans="1:4">
      <c r="A4" t="s">
        <v>270</v>
      </c>
      <c r="B4" s="347">
        <v>93415</v>
      </c>
      <c r="C4" t="s">
        <v>266</v>
      </c>
      <c r="D4" s="2">
        <f t="shared" si="0"/>
        <v>93415</v>
      </c>
    </row>
    <row r="5" spans="1:4">
      <c r="A5" t="s">
        <v>271</v>
      </c>
      <c r="B5" s="347">
        <v>18576997</v>
      </c>
      <c r="C5" t="s">
        <v>266</v>
      </c>
      <c r="D5" s="2">
        <f t="shared" si="0"/>
        <v>18576997</v>
      </c>
    </row>
    <row r="6" spans="1:4">
      <c r="A6" t="s">
        <v>272</v>
      </c>
      <c r="B6" s="347">
        <v>1250861</v>
      </c>
      <c r="D6" s="2">
        <f t="shared" si="0"/>
        <v>1250861</v>
      </c>
    </row>
    <row r="7" spans="1:4">
      <c r="A7" t="s">
        <v>273</v>
      </c>
      <c r="B7" s="347">
        <v>26538310</v>
      </c>
      <c r="D7" s="2">
        <f t="shared" si="0"/>
        <v>26538310</v>
      </c>
    </row>
    <row r="8" spans="1:4">
      <c r="A8" t="s">
        <v>274</v>
      </c>
      <c r="B8" s="347">
        <v>1177347</v>
      </c>
      <c r="D8" s="2">
        <f t="shared" si="0"/>
        <v>1177347</v>
      </c>
    </row>
    <row r="9" spans="1:4">
      <c r="A9" t="s">
        <v>275</v>
      </c>
      <c r="B9" s="347">
        <v>22993685</v>
      </c>
      <c r="D9" s="2">
        <f t="shared" si="0"/>
        <v>22993685</v>
      </c>
    </row>
    <row r="10" spans="1:4">
      <c r="A10" t="s">
        <v>276</v>
      </c>
      <c r="B10" s="347">
        <v>90675</v>
      </c>
      <c r="C10" t="s">
        <v>277</v>
      </c>
      <c r="D10" s="2"/>
    </row>
    <row r="11" spans="1:4">
      <c r="A11" t="s">
        <v>278</v>
      </c>
      <c r="B11" s="347">
        <v>1838321</v>
      </c>
      <c r="C11" t="s">
        <v>279</v>
      </c>
      <c r="D11" s="2"/>
    </row>
    <row r="12" spans="1:4">
      <c r="A12" t="s">
        <v>280</v>
      </c>
      <c r="B12" s="347">
        <v>17310919</v>
      </c>
      <c r="C12" t="s">
        <v>268</v>
      </c>
    </row>
    <row r="13" spans="1:4">
      <c r="B13" s="347">
        <f>SUM(B1:B12)</f>
        <v>127071549</v>
      </c>
      <c r="D13" t="s">
        <v>281</v>
      </c>
    </row>
    <row r="14" spans="1:4">
      <c r="B14" s="347"/>
      <c r="D14" s="2">
        <f>B12+108305798</f>
        <v>125616717</v>
      </c>
    </row>
    <row r="15" spans="1:4">
      <c r="B15" s="347"/>
      <c r="D15" s="2"/>
    </row>
    <row r="16" spans="1:4">
      <c r="B16" s="347"/>
      <c r="D16" s="2">
        <f>96310000+B12</f>
        <v>113620919</v>
      </c>
    </row>
    <row r="18" spans="4:4">
      <c r="D18" s="2">
        <f>B13-D16</f>
        <v>13450630</v>
      </c>
    </row>
  </sheetData>
  <phoneticPr fontId="2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4"/>
  <sheetViews>
    <sheetView view="pageBreakPreview" zoomScale="95" zoomScaleNormal="100" zoomScaleSheetLayoutView="95" workbookViewId="0">
      <selection activeCell="F21" sqref="F21:F22"/>
    </sheetView>
  </sheetViews>
  <sheetFormatPr defaultColWidth="9" defaultRowHeight="13.5"/>
  <cols>
    <col min="3" max="3" width="11.125" customWidth="1"/>
    <col min="4" max="7" width="14" customWidth="1"/>
    <col min="8" max="8" width="13" customWidth="1"/>
    <col min="9" max="9" width="10.375" bestFit="1" customWidth="1"/>
    <col min="10" max="10" width="9.125" bestFit="1" customWidth="1"/>
    <col min="12" max="12" width="11.375" bestFit="1" customWidth="1"/>
  </cols>
  <sheetData>
    <row r="1" spans="1:12">
      <c r="A1" s="1" t="s">
        <v>90</v>
      </c>
      <c r="B1" s="1"/>
      <c r="C1" s="1"/>
    </row>
    <row r="2" spans="1:12">
      <c r="A2" s="3"/>
      <c r="B2" s="7"/>
      <c r="C2" s="7" t="s">
        <v>1</v>
      </c>
      <c r="D2" s="10">
        <v>45157</v>
      </c>
      <c r="E2" s="10">
        <v>45204</v>
      </c>
      <c r="F2" s="10">
        <v>45350</v>
      </c>
      <c r="G2" s="10">
        <v>45409</v>
      </c>
      <c r="H2" s="44" t="s">
        <v>2</v>
      </c>
    </row>
    <row r="3" spans="1:12" ht="13.5" customHeight="1">
      <c r="A3" s="611" t="s">
        <v>226</v>
      </c>
      <c r="B3" s="614" t="s">
        <v>235</v>
      </c>
      <c r="C3" s="63" t="s">
        <v>5</v>
      </c>
      <c r="D3" s="105">
        <v>2261260</v>
      </c>
      <c r="E3" s="8">
        <v>1977600</v>
      </c>
      <c r="F3" s="52">
        <v>1397436</v>
      </c>
      <c r="G3" s="8">
        <v>1312728</v>
      </c>
      <c r="H3" s="225">
        <f t="shared" ref="H3:H8" si="0">SUM(D3:G3)</f>
        <v>6949024</v>
      </c>
      <c r="I3" s="2"/>
    </row>
    <row r="4" spans="1:12">
      <c r="A4" s="612"/>
      <c r="B4" s="614"/>
      <c r="C4" s="63" t="s">
        <v>73</v>
      </c>
      <c r="D4" s="105">
        <f>D3*1.1</f>
        <v>2487386</v>
      </c>
      <c r="E4" s="8">
        <v>2175359</v>
      </c>
      <c r="F4" s="52">
        <f>F3*1.1</f>
        <v>1537179.6</v>
      </c>
      <c r="G4" s="52">
        <f>G3*1.1</f>
        <v>1444000.8</v>
      </c>
      <c r="H4" s="225">
        <f t="shared" si="0"/>
        <v>7643925.3999999994</v>
      </c>
      <c r="I4" s="5">
        <f>H4-H3</f>
        <v>694901.39999999944</v>
      </c>
    </row>
    <row r="5" spans="1:12">
      <c r="A5" s="613"/>
      <c r="B5" s="615" t="s">
        <v>74</v>
      </c>
      <c r="C5" s="616"/>
      <c r="D5" s="8">
        <f>D3</f>
        <v>2261260</v>
      </c>
      <c r="E5" s="8">
        <f>E3</f>
        <v>1977600</v>
      </c>
      <c r="F5" s="52">
        <f>F3</f>
        <v>1397436</v>
      </c>
      <c r="G5" s="52">
        <f>G3</f>
        <v>1312728</v>
      </c>
      <c r="H5" s="225">
        <f t="shared" si="0"/>
        <v>6949024</v>
      </c>
    </row>
    <row r="6" spans="1:12" ht="28.5">
      <c r="A6" s="213" t="s">
        <v>234</v>
      </c>
      <c r="B6" s="214" t="s">
        <v>235</v>
      </c>
      <c r="C6" s="61" t="s">
        <v>5</v>
      </c>
      <c r="D6" s="8">
        <v>2601416</v>
      </c>
      <c r="E6" s="8">
        <v>2275356</v>
      </c>
      <c r="F6" s="52">
        <v>1608156</v>
      </c>
      <c r="G6" s="8">
        <v>1510344</v>
      </c>
      <c r="H6" s="225">
        <f t="shared" si="0"/>
        <v>7995272</v>
      </c>
    </row>
    <row r="7" spans="1:12" ht="26.25" customHeight="1">
      <c r="A7" s="617" t="s">
        <v>75</v>
      </c>
      <c r="B7" s="617"/>
      <c r="C7" s="63" t="s">
        <v>5</v>
      </c>
      <c r="D7" s="62">
        <f>D6</f>
        <v>2601416</v>
      </c>
      <c r="E7" s="62">
        <f>E6</f>
        <v>2275356</v>
      </c>
      <c r="F7" s="62">
        <f>F6</f>
        <v>1608156</v>
      </c>
      <c r="G7" s="62">
        <f>G6+3700</f>
        <v>1514044</v>
      </c>
      <c r="H7" s="225">
        <f>SUM(D7:G7)</f>
        <v>7998972</v>
      </c>
      <c r="I7" s="5">
        <f>55800000+H7</f>
        <v>63798972</v>
      </c>
    </row>
    <row r="8" spans="1:12">
      <c r="A8" s="618" t="s">
        <v>76</v>
      </c>
      <c r="B8" s="617" t="s">
        <v>77</v>
      </c>
      <c r="C8" s="617"/>
      <c r="D8" s="62">
        <f>D7-D5</f>
        <v>340156</v>
      </c>
      <c r="E8" s="62">
        <f>E7-E5</f>
        <v>297756</v>
      </c>
      <c r="F8" s="62">
        <f>F7-F5</f>
        <v>210720</v>
      </c>
      <c r="G8" s="62">
        <f>G7-G5</f>
        <v>201316</v>
      </c>
      <c r="H8" s="225">
        <f t="shared" si="0"/>
        <v>1049948</v>
      </c>
      <c r="I8">
        <v>8506639</v>
      </c>
      <c r="J8" s="5"/>
    </row>
    <row r="9" spans="1:12">
      <c r="A9" s="618"/>
      <c r="B9" s="617" t="s">
        <v>78</v>
      </c>
      <c r="C9" s="617"/>
      <c r="D9" s="4">
        <f>D8/D7</f>
        <v>0.13075801794099828</v>
      </c>
      <c r="E9" s="4">
        <f>E8/E7</f>
        <v>0.13086128060839711</v>
      </c>
      <c r="F9" s="53">
        <f>F8/F7</f>
        <v>0.13103206405348736</v>
      </c>
      <c r="G9" s="53">
        <f>G8/G7</f>
        <v>0.13296575264655452</v>
      </c>
      <c r="H9" s="226">
        <f>H8/H7</f>
        <v>0.13126036695715398</v>
      </c>
    </row>
    <row r="10" spans="1:12" ht="13.5" hidden="1" customHeight="1">
      <c r="A10" s="619" t="s">
        <v>79</v>
      </c>
      <c r="B10" s="620" t="s">
        <v>80</v>
      </c>
      <c r="C10" s="620"/>
      <c r="D10" s="7"/>
      <c r="E10" s="7"/>
      <c r="F10" s="7"/>
      <c r="G10" s="7"/>
      <c r="H10" s="225" t="e">
        <f>SUM(#REF!)</f>
        <v>#REF!</v>
      </c>
    </row>
    <row r="11" spans="1:12" ht="13.5" hidden="1" customHeight="1">
      <c r="A11" s="618"/>
      <c r="B11" s="620"/>
      <c r="C11" s="620"/>
      <c r="D11" s="7"/>
      <c r="E11" s="7"/>
      <c r="F11" s="7"/>
      <c r="G11" s="7"/>
      <c r="H11" s="225" t="e">
        <f>SUM(#REF!)</f>
        <v>#REF!</v>
      </c>
    </row>
    <row r="12" spans="1:12" ht="13.5" hidden="1" customHeight="1">
      <c r="A12" s="618"/>
      <c r="B12" s="620" t="s">
        <v>81</v>
      </c>
      <c r="C12" s="620"/>
      <c r="D12" s="7"/>
      <c r="E12" s="7"/>
      <c r="F12" s="7"/>
      <c r="G12" s="7"/>
      <c r="H12" s="225" t="e">
        <f>SUM(#REF!)</f>
        <v>#REF!</v>
      </c>
    </row>
    <row r="13" spans="1:12" ht="13.5" hidden="1" customHeight="1">
      <c r="A13" s="618"/>
      <c r="B13" s="620"/>
      <c r="C13" s="620"/>
      <c r="D13" s="7"/>
      <c r="E13" s="7"/>
      <c r="F13" s="7"/>
      <c r="G13" s="7"/>
      <c r="H13" s="225" t="e">
        <f>SUM(#REF!)</f>
        <v>#REF!</v>
      </c>
    </row>
    <row r="14" spans="1:12">
      <c r="A14" s="617" t="s">
        <v>82</v>
      </c>
      <c r="B14" s="617"/>
      <c r="C14" s="617"/>
      <c r="D14" s="606">
        <f>D6</f>
        <v>2601416</v>
      </c>
      <c r="E14" s="606">
        <f>E6</f>
        <v>2275356</v>
      </c>
      <c r="F14" s="606">
        <f>F6</f>
        <v>1608156</v>
      </c>
      <c r="G14" s="606">
        <f>G6</f>
        <v>1510344</v>
      </c>
      <c r="H14" s="227"/>
      <c r="L14" s="2" t="e">
        <f>#REF!+12804072</f>
        <v>#REF!</v>
      </c>
    </row>
    <row r="15" spans="1:12">
      <c r="A15" s="617"/>
      <c r="B15" s="617"/>
      <c r="C15" s="617"/>
      <c r="D15" s="606"/>
      <c r="E15" s="606"/>
      <c r="F15" s="606"/>
      <c r="G15" s="606"/>
    </row>
    <row r="16" spans="1:12" ht="26.25" customHeight="1">
      <c r="A16" s="617" t="s">
        <v>83</v>
      </c>
      <c r="B16" s="617"/>
      <c r="C16" s="617"/>
      <c r="D16" s="72">
        <v>45219</v>
      </c>
      <c r="E16" s="72">
        <v>45282</v>
      </c>
      <c r="F16" s="72"/>
      <c r="G16" s="72"/>
      <c r="H16" s="228" t="s">
        <v>237</v>
      </c>
    </row>
    <row r="17" spans="1:8">
      <c r="A17" s="609" t="s">
        <v>84</v>
      </c>
      <c r="B17" s="607" t="s">
        <v>63</v>
      </c>
      <c r="C17" s="607"/>
      <c r="D17" s="610">
        <v>45211</v>
      </c>
      <c r="E17" s="610">
        <v>45281</v>
      </c>
      <c r="F17" s="610">
        <v>45420</v>
      </c>
      <c r="G17" s="610">
        <v>45462</v>
      </c>
      <c r="H17" s="229">
        <v>2200</v>
      </c>
    </row>
    <row r="18" spans="1:8">
      <c r="A18" s="607"/>
      <c r="B18" s="607"/>
      <c r="C18" s="607"/>
      <c r="D18" s="610"/>
      <c r="E18" s="610"/>
      <c r="F18" s="610"/>
      <c r="G18" s="610"/>
      <c r="H18" s="230" t="s">
        <v>241</v>
      </c>
    </row>
    <row r="19" spans="1:8">
      <c r="A19" s="607"/>
      <c r="B19" s="607" t="s">
        <v>85</v>
      </c>
      <c r="C19" s="607"/>
      <c r="D19" s="624">
        <v>2593050</v>
      </c>
      <c r="E19" s="624">
        <v>2420660</v>
      </c>
      <c r="F19" s="625">
        <v>1461025</v>
      </c>
      <c r="G19" s="621">
        <v>1571600</v>
      </c>
    </row>
    <row r="20" spans="1:8">
      <c r="A20" s="607"/>
      <c r="B20" s="607"/>
      <c r="C20" s="607"/>
      <c r="D20" s="624"/>
      <c r="E20" s="624"/>
      <c r="F20" s="625"/>
      <c r="G20" s="621"/>
    </row>
    <row r="21" spans="1:8">
      <c r="A21" s="609" t="s">
        <v>86</v>
      </c>
      <c r="B21" s="607" t="s">
        <v>63</v>
      </c>
      <c r="C21" s="607"/>
      <c r="D21" s="624"/>
      <c r="E21" s="624"/>
      <c r="F21" s="626"/>
      <c r="G21" s="610"/>
    </row>
    <row r="22" spans="1:8">
      <c r="A22" s="607"/>
      <c r="B22" s="607"/>
      <c r="C22" s="607"/>
      <c r="D22" s="624"/>
      <c r="E22" s="624"/>
      <c r="F22" s="624"/>
      <c r="G22" s="610"/>
    </row>
    <row r="23" spans="1:8">
      <c r="A23" s="607"/>
      <c r="B23" s="607" t="s">
        <v>85</v>
      </c>
      <c r="C23" s="607"/>
      <c r="D23" s="624"/>
      <c r="E23" s="624"/>
      <c r="F23" s="624"/>
      <c r="G23" s="610"/>
    </row>
    <row r="24" spans="1:8">
      <c r="A24" s="607"/>
      <c r="B24" s="607"/>
      <c r="C24" s="607"/>
      <c r="D24" s="624"/>
      <c r="E24" s="624"/>
      <c r="F24" s="624"/>
      <c r="G24" s="610"/>
    </row>
    <row r="25" spans="1:8">
      <c r="A25" s="607" t="s">
        <v>60</v>
      </c>
      <c r="B25" s="607"/>
      <c r="C25" s="607"/>
      <c r="D25" s="606">
        <f>D7-D19</f>
        <v>8366</v>
      </c>
      <c r="E25" s="606">
        <f>E7-E19</f>
        <v>-145304</v>
      </c>
      <c r="F25" s="606">
        <f>F7-F19-F23</f>
        <v>147131</v>
      </c>
      <c r="G25" s="606">
        <f>G7-G19-G23</f>
        <v>-57556</v>
      </c>
    </row>
    <row r="26" spans="1:8" ht="19.5" customHeight="1">
      <c r="A26" s="607"/>
      <c r="B26" s="607"/>
      <c r="C26" s="607"/>
      <c r="D26" s="610"/>
      <c r="E26" s="610"/>
      <c r="F26" s="610"/>
      <c r="G26" s="610"/>
      <c r="H26" s="2"/>
    </row>
    <row r="27" spans="1:8" ht="13.5" hidden="1" customHeight="1">
      <c r="A27" s="7"/>
      <c r="B27" s="7"/>
      <c r="C27" s="7"/>
      <c r="D27" s="72"/>
      <c r="E27" s="72"/>
      <c r="F27" s="72"/>
      <c r="G27" s="72"/>
    </row>
    <row r="28" spans="1:8" ht="13.5" hidden="1" customHeight="1">
      <c r="A28" s="608" t="s">
        <v>87</v>
      </c>
      <c r="B28" s="608"/>
      <c r="C28" s="60" t="e">
        <f>SUM(#REF!)</f>
        <v>#REF!</v>
      </c>
      <c r="D28" s="72"/>
      <c r="E28" s="72"/>
      <c r="F28" s="72"/>
      <c r="G28" s="72"/>
    </row>
    <row r="29" spans="1:8">
      <c r="A29" s="607" t="s">
        <v>88</v>
      </c>
      <c r="B29" s="607"/>
      <c r="C29" s="607"/>
      <c r="D29" s="622">
        <f>SUM(D25:G26)</f>
        <v>-47363</v>
      </c>
      <c r="E29" s="623"/>
      <c r="F29" s="623"/>
      <c r="G29" s="623"/>
    </row>
    <row r="30" spans="1:8">
      <c r="A30" s="607"/>
      <c r="B30" s="607"/>
      <c r="C30" s="607"/>
      <c r="D30" s="622"/>
      <c r="E30" s="623"/>
      <c r="F30" s="623"/>
      <c r="G30" s="623"/>
    </row>
    <row r="34" spans="5:5">
      <c r="E34" s="2"/>
    </row>
  </sheetData>
  <mergeCells count="46"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A29:C30"/>
    <mergeCell ref="F23:F24"/>
    <mergeCell ref="A25:C26"/>
    <mergeCell ref="D25:D26"/>
    <mergeCell ref="E21:E22"/>
    <mergeCell ref="F21:F22"/>
    <mergeCell ref="D21:D22"/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</mergeCells>
  <phoneticPr fontId="12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A1D4-A8DD-4692-BE84-117D9E804E9D}">
  <sheetPr>
    <pageSetUpPr fitToPage="1"/>
  </sheetPr>
  <dimension ref="A1:L40"/>
  <sheetViews>
    <sheetView view="pageBreakPreview" topLeftCell="C7" zoomScale="95" zoomScaleNormal="100" zoomScaleSheetLayoutView="95" workbookViewId="0">
      <selection activeCell="G39" sqref="G39"/>
    </sheetView>
  </sheetViews>
  <sheetFormatPr defaultColWidth="9" defaultRowHeight="13.5"/>
  <cols>
    <col min="3" max="3" width="11.125" customWidth="1"/>
    <col min="4" max="4" width="16" customWidth="1"/>
    <col min="5" max="5" width="14" customWidth="1"/>
    <col min="6" max="6" width="14.25" customWidth="1"/>
    <col min="7" max="9" width="14" customWidth="1"/>
    <col min="10" max="10" width="13" customWidth="1"/>
    <col min="11" max="11" width="10.375" bestFit="1" customWidth="1"/>
    <col min="12" max="12" width="9.125" bestFit="1" customWidth="1"/>
  </cols>
  <sheetData>
    <row r="1" spans="1:12">
      <c r="A1" s="1" t="s">
        <v>138</v>
      </c>
      <c r="B1" s="1"/>
      <c r="C1" s="1"/>
      <c r="F1" t="s">
        <v>255</v>
      </c>
      <c r="G1" t="s">
        <v>295</v>
      </c>
      <c r="H1" t="s">
        <v>295</v>
      </c>
      <c r="I1" t="s">
        <v>295</v>
      </c>
    </row>
    <row r="2" spans="1:12">
      <c r="A2" s="3"/>
      <c r="B2" s="7"/>
      <c r="C2" s="7" t="s">
        <v>1</v>
      </c>
      <c r="D2" s="10">
        <v>45217</v>
      </c>
      <c r="E2" s="10">
        <v>45393</v>
      </c>
      <c r="F2" s="10">
        <v>45601</v>
      </c>
      <c r="G2" s="10">
        <v>45781</v>
      </c>
      <c r="H2" s="10">
        <v>45826</v>
      </c>
      <c r="I2" s="10">
        <v>45846</v>
      </c>
      <c r="J2" s="7" t="s">
        <v>2</v>
      </c>
    </row>
    <row r="3" spans="1:12">
      <c r="A3" s="612" t="s">
        <v>243</v>
      </c>
      <c r="B3" s="609"/>
      <c r="C3" s="61" t="s">
        <v>5</v>
      </c>
      <c r="D3" s="119">
        <v>941700</v>
      </c>
      <c r="E3" s="8">
        <f>1212800</f>
        <v>1212800</v>
      </c>
      <c r="F3" s="52">
        <v>32700</v>
      </c>
      <c r="G3" s="45">
        <f>45760+101600</f>
        <v>147360</v>
      </c>
      <c r="H3" s="45">
        <v>108060</v>
      </c>
      <c r="I3" s="45">
        <v>50412</v>
      </c>
      <c r="J3" s="9">
        <f>SUM(D3:G3)</f>
        <v>2334560</v>
      </c>
      <c r="K3" s="2"/>
    </row>
    <row r="4" spans="1:12">
      <c r="A4" s="612"/>
      <c r="B4" s="609"/>
      <c r="C4" s="61" t="s">
        <v>73</v>
      </c>
      <c r="D4" s="119">
        <f>D3*1.08</f>
        <v>1017036.0000000001</v>
      </c>
      <c r="E4" s="119">
        <f>E3*1.08</f>
        <v>1309824</v>
      </c>
      <c r="F4" s="52">
        <f>F3*1.1</f>
        <v>35970</v>
      </c>
      <c r="G4" s="52">
        <f>(45760*1.1)+(54400*1.08)+(47200*1.1)</f>
        <v>161008.00000000003</v>
      </c>
      <c r="H4" s="52">
        <f>H3*1.1</f>
        <v>118866.00000000001</v>
      </c>
      <c r="I4" s="52">
        <f>I3*1.1</f>
        <v>55453.200000000004</v>
      </c>
      <c r="J4" s="9">
        <f>SUM(D4:G4)</f>
        <v>2523838</v>
      </c>
      <c r="K4" s="5">
        <f>J4-J3</f>
        <v>189278</v>
      </c>
    </row>
    <row r="5" spans="1:12">
      <c r="A5" s="612"/>
      <c r="B5" s="635" t="s">
        <v>299</v>
      </c>
      <c r="C5" s="61"/>
      <c r="D5" s="119"/>
      <c r="E5" s="119">
        <v>62800</v>
      </c>
      <c r="F5" s="52"/>
      <c r="G5" s="52">
        <v>27390</v>
      </c>
      <c r="H5" s="52"/>
      <c r="I5" s="52"/>
      <c r="J5" s="9"/>
      <c r="K5" s="5"/>
    </row>
    <row r="6" spans="1:12">
      <c r="A6" s="612"/>
      <c r="B6" s="636"/>
      <c r="C6" s="61"/>
      <c r="D6" s="119"/>
      <c r="E6" s="119">
        <f>E5*1.08</f>
        <v>67824</v>
      </c>
      <c r="F6" s="52"/>
      <c r="G6" s="52">
        <f>G5*1.1</f>
        <v>30129.000000000004</v>
      </c>
      <c r="H6" s="52"/>
      <c r="I6" s="52"/>
      <c r="J6" s="9"/>
      <c r="K6" s="5">
        <f>54400+47200</f>
        <v>101600</v>
      </c>
    </row>
    <row r="7" spans="1:12">
      <c r="A7" s="612"/>
      <c r="B7" s="631" t="s">
        <v>139</v>
      </c>
      <c r="C7" s="61" t="s">
        <v>5</v>
      </c>
      <c r="D7" s="119">
        <f>39420+22220</f>
        <v>61640</v>
      </c>
      <c r="E7" s="8">
        <v>44727</v>
      </c>
      <c r="F7" s="52"/>
      <c r="G7" s="52"/>
      <c r="H7" s="52"/>
      <c r="I7" s="52"/>
      <c r="J7" s="9"/>
      <c r="K7" s="5"/>
    </row>
    <row r="8" spans="1:12">
      <c r="A8" s="612"/>
      <c r="B8" s="632"/>
      <c r="C8" s="61" t="s">
        <v>73</v>
      </c>
      <c r="D8" s="119">
        <f>D7*1.1</f>
        <v>67804</v>
      </c>
      <c r="E8" s="119">
        <f>E7*1.1</f>
        <v>49199.700000000004</v>
      </c>
      <c r="F8" s="52"/>
      <c r="G8" s="52">
        <f>G7*1.1</f>
        <v>0</v>
      </c>
      <c r="H8" s="52"/>
      <c r="I8" s="52"/>
      <c r="J8" s="9"/>
      <c r="K8" s="5"/>
    </row>
    <row r="9" spans="1:12">
      <c r="A9" s="612"/>
      <c r="B9" s="631" t="s">
        <v>140</v>
      </c>
      <c r="C9" s="61" t="s">
        <v>5</v>
      </c>
      <c r="D9" s="119">
        <f>150850+15338</f>
        <v>166188</v>
      </c>
      <c r="E9" s="8">
        <v>183576</v>
      </c>
      <c r="F9" s="52"/>
      <c r="G9" s="52"/>
      <c r="H9" s="52"/>
      <c r="I9" s="52"/>
      <c r="J9" s="9"/>
      <c r="K9" s="5"/>
    </row>
    <row r="10" spans="1:12">
      <c r="A10" s="613"/>
      <c r="B10" s="632"/>
      <c r="C10" s="61" t="s">
        <v>141</v>
      </c>
      <c r="D10" s="119">
        <f>D9</f>
        <v>166188</v>
      </c>
      <c r="E10" s="8">
        <v>183576</v>
      </c>
      <c r="F10" s="52"/>
      <c r="G10" s="52"/>
      <c r="H10" s="52"/>
      <c r="I10" s="52"/>
      <c r="J10" s="9"/>
      <c r="K10" s="5"/>
    </row>
    <row r="11" spans="1:12" ht="19.5" customHeight="1">
      <c r="A11" s="611" t="s">
        <v>75</v>
      </c>
      <c r="B11" s="633" t="s">
        <v>74</v>
      </c>
      <c r="C11" s="634"/>
      <c r="D11" s="119">
        <f>D3+D7+D9</f>
        <v>1169528</v>
      </c>
      <c r="E11" s="8">
        <f>E3+E7+E9</f>
        <v>1441103</v>
      </c>
      <c r="F11" s="52">
        <f>F3</f>
        <v>32700</v>
      </c>
      <c r="G11" s="52">
        <f>G3+G5</f>
        <v>174750</v>
      </c>
      <c r="H11" s="52">
        <v>108060</v>
      </c>
      <c r="I11" s="52">
        <v>50412</v>
      </c>
      <c r="J11" s="9">
        <f>SUM(D11:G11)</f>
        <v>2818081</v>
      </c>
    </row>
    <row r="12" spans="1:12">
      <c r="A12" s="613"/>
      <c r="B12" s="220"/>
      <c r="C12" s="61" t="s">
        <v>5</v>
      </c>
      <c r="D12" s="8">
        <v>1280812</v>
      </c>
      <c r="E12" s="8">
        <f>1411040+274668</f>
        <v>1685708</v>
      </c>
      <c r="F12" s="52">
        <v>32700</v>
      </c>
      <c r="G12" s="45">
        <f t="shared" ref="G12:I13" si="0">G11</f>
        <v>174750</v>
      </c>
      <c r="H12" s="45">
        <f t="shared" si="0"/>
        <v>108060</v>
      </c>
      <c r="I12" s="45">
        <f t="shared" si="0"/>
        <v>50412</v>
      </c>
      <c r="J12" s="9">
        <f>SUM(D12:G12)</f>
        <v>3173970</v>
      </c>
    </row>
    <row r="13" spans="1:12" ht="26.25" customHeight="1">
      <c r="A13" s="617" t="s">
        <v>75</v>
      </c>
      <c r="B13" s="617"/>
      <c r="C13" s="63" t="s">
        <v>5</v>
      </c>
      <c r="D13" s="62">
        <v>1280812</v>
      </c>
      <c r="E13" s="62">
        <f>E12</f>
        <v>1685708</v>
      </c>
      <c r="F13" s="62">
        <f>F12</f>
        <v>32700</v>
      </c>
      <c r="G13" s="62">
        <f t="shared" si="0"/>
        <v>174750</v>
      </c>
      <c r="H13" s="62">
        <f t="shared" si="0"/>
        <v>108060</v>
      </c>
      <c r="I13" s="62">
        <f t="shared" si="0"/>
        <v>50412</v>
      </c>
      <c r="J13" s="9">
        <f>SUM(D13:G13)</f>
        <v>3173970</v>
      </c>
      <c r="K13" s="5">
        <f>55800000+J13</f>
        <v>58973970</v>
      </c>
    </row>
    <row r="14" spans="1:12">
      <c r="A14" s="618" t="s">
        <v>76</v>
      </c>
      <c r="B14" s="617" t="s">
        <v>77</v>
      </c>
      <c r="C14" s="617"/>
      <c r="D14" s="62">
        <f>D13-D11</f>
        <v>111284</v>
      </c>
      <c r="E14" s="62">
        <f>E13-E11</f>
        <v>244605</v>
      </c>
      <c r="F14" s="62">
        <f>F13-F11</f>
        <v>0</v>
      </c>
      <c r="G14" s="62">
        <f>G13-G11</f>
        <v>0</v>
      </c>
      <c r="H14" s="62"/>
      <c r="I14" s="62"/>
      <c r="J14" s="9">
        <f>SUM(D14:G14)</f>
        <v>355889</v>
      </c>
      <c r="K14">
        <v>8506639</v>
      </c>
      <c r="L14" s="5"/>
    </row>
    <row r="15" spans="1:12">
      <c r="A15" s="618"/>
      <c r="B15" s="617" t="s">
        <v>78</v>
      </c>
      <c r="C15" s="617"/>
      <c r="D15" s="4">
        <f>D14/D13</f>
        <v>8.6885507006492751E-2</v>
      </c>
      <c r="E15" s="4">
        <f>E14/E13</f>
        <v>0.14510520208719421</v>
      </c>
      <c r="F15" s="53">
        <f>F14/F13</f>
        <v>0</v>
      </c>
      <c r="G15" s="53">
        <f>G14/G13</f>
        <v>0</v>
      </c>
      <c r="H15" s="53"/>
      <c r="I15" s="53"/>
      <c r="J15" s="6">
        <f>J14/J13</f>
        <v>0.11212739880969259</v>
      </c>
    </row>
    <row r="16" spans="1:12" ht="13.5" hidden="1" customHeight="1">
      <c r="A16" s="619" t="s">
        <v>79</v>
      </c>
      <c r="B16" s="620" t="s">
        <v>80</v>
      </c>
      <c r="C16" s="620"/>
      <c r="D16" s="7"/>
      <c r="E16" s="7"/>
      <c r="F16" s="7"/>
      <c r="G16" s="44"/>
      <c r="H16" s="44"/>
      <c r="I16" s="44"/>
      <c r="J16" s="9" t="e">
        <f>SUM(#REF!)</f>
        <v>#REF!</v>
      </c>
    </row>
    <row r="17" spans="1:10" ht="13.5" hidden="1" customHeight="1">
      <c r="A17" s="618"/>
      <c r="B17" s="620"/>
      <c r="C17" s="620"/>
      <c r="D17" s="7"/>
      <c r="E17" s="7"/>
      <c r="F17" s="7"/>
      <c r="G17" s="44"/>
      <c r="H17" s="44"/>
      <c r="I17" s="44"/>
      <c r="J17" s="9" t="e">
        <f>SUM(#REF!)</f>
        <v>#REF!</v>
      </c>
    </row>
    <row r="18" spans="1:10" ht="13.5" hidden="1" customHeight="1">
      <c r="A18" s="618"/>
      <c r="B18" s="620" t="s">
        <v>81</v>
      </c>
      <c r="C18" s="620"/>
      <c r="D18" s="7"/>
      <c r="E18" s="7"/>
      <c r="F18" s="7"/>
      <c r="G18" s="44"/>
      <c r="H18" s="44"/>
      <c r="I18" s="44"/>
      <c r="J18" s="9" t="e">
        <f>SUM(#REF!)</f>
        <v>#REF!</v>
      </c>
    </row>
    <row r="19" spans="1:10" ht="13.5" hidden="1" customHeight="1">
      <c r="A19" s="618"/>
      <c r="B19" s="620"/>
      <c r="C19" s="620"/>
      <c r="D19" s="7"/>
      <c r="E19" s="7"/>
      <c r="F19" s="7"/>
      <c r="G19" s="44"/>
      <c r="H19" s="44"/>
      <c r="I19" s="44"/>
      <c r="J19" s="9" t="e">
        <f>SUM(#REF!)</f>
        <v>#REF!</v>
      </c>
    </row>
    <row r="20" spans="1:10">
      <c r="A20" s="617" t="s">
        <v>296</v>
      </c>
      <c r="B20" s="617"/>
      <c r="C20" s="617"/>
      <c r="D20" s="606">
        <f t="shared" ref="D20:I20" si="1">D12</f>
        <v>1280812</v>
      </c>
      <c r="E20" s="606">
        <f t="shared" si="1"/>
        <v>1685708</v>
      </c>
      <c r="F20" s="606">
        <f t="shared" si="1"/>
        <v>32700</v>
      </c>
      <c r="G20" s="606">
        <f t="shared" si="1"/>
        <v>174750</v>
      </c>
      <c r="H20" s="606">
        <f t="shared" si="1"/>
        <v>108060</v>
      </c>
      <c r="I20" s="606">
        <f t="shared" si="1"/>
        <v>50412</v>
      </c>
      <c r="J20" s="227"/>
    </row>
    <row r="21" spans="1:10">
      <c r="A21" s="617"/>
      <c r="B21" s="617"/>
      <c r="C21" s="617"/>
      <c r="D21" s="606"/>
      <c r="E21" s="606"/>
      <c r="F21" s="606"/>
      <c r="G21" s="606"/>
      <c r="H21" s="606"/>
      <c r="I21" s="606"/>
    </row>
    <row r="22" spans="1:10" ht="26.25" customHeight="1">
      <c r="A22" s="617" t="s">
        <v>83</v>
      </c>
      <c r="B22" s="617"/>
      <c r="C22" s="617"/>
      <c r="D22" s="72">
        <v>45230</v>
      </c>
      <c r="E22" s="72">
        <v>45412</v>
      </c>
      <c r="F22" s="72"/>
      <c r="G22" s="72"/>
      <c r="H22" s="72"/>
      <c r="I22" s="72"/>
    </row>
    <row r="23" spans="1:10">
      <c r="A23" s="609" t="s">
        <v>84</v>
      </c>
      <c r="B23" s="607" t="s">
        <v>63</v>
      </c>
      <c r="C23" s="607"/>
      <c r="D23" s="610">
        <v>45229</v>
      </c>
      <c r="E23" s="610">
        <v>45398</v>
      </c>
      <c r="F23" s="610">
        <v>45990</v>
      </c>
      <c r="G23" s="610">
        <v>45810</v>
      </c>
      <c r="H23" s="610">
        <v>45838</v>
      </c>
      <c r="I23" s="629"/>
    </row>
    <row r="24" spans="1:10">
      <c r="A24" s="607"/>
      <c r="B24" s="607"/>
      <c r="C24" s="607"/>
      <c r="D24" s="610"/>
      <c r="E24" s="610"/>
      <c r="F24" s="610"/>
      <c r="G24" s="610"/>
      <c r="H24" s="610"/>
      <c r="I24" s="630"/>
    </row>
    <row r="25" spans="1:10">
      <c r="A25" s="607"/>
      <c r="B25" s="607" t="s">
        <v>85</v>
      </c>
      <c r="C25" s="607"/>
      <c r="D25" s="624">
        <v>1280812</v>
      </c>
      <c r="E25" s="624">
        <v>1411040</v>
      </c>
      <c r="F25" s="625">
        <v>16400</v>
      </c>
      <c r="G25" s="621">
        <v>174750</v>
      </c>
      <c r="H25" s="621">
        <v>108060</v>
      </c>
      <c r="I25" s="627"/>
    </row>
    <row r="26" spans="1:10">
      <c r="A26" s="607"/>
      <c r="B26" s="607"/>
      <c r="C26" s="607"/>
      <c r="D26" s="624"/>
      <c r="E26" s="624"/>
      <c r="F26" s="625"/>
      <c r="G26" s="621"/>
      <c r="H26" s="621"/>
      <c r="I26" s="628"/>
    </row>
    <row r="27" spans="1:10">
      <c r="A27" s="609" t="s">
        <v>86</v>
      </c>
      <c r="B27" s="607" t="s">
        <v>63</v>
      </c>
      <c r="C27" s="607"/>
      <c r="D27" s="624"/>
      <c r="E27" s="626">
        <v>0.27586206896551724</v>
      </c>
      <c r="F27" s="626">
        <v>0.44444444444444442</v>
      </c>
      <c r="G27" s="610"/>
      <c r="H27" s="610"/>
      <c r="I27" s="629"/>
    </row>
    <row r="28" spans="1:10">
      <c r="A28" s="607"/>
      <c r="B28" s="607"/>
      <c r="C28" s="607"/>
      <c r="D28" s="624"/>
      <c r="E28" s="624"/>
      <c r="F28" s="624"/>
      <c r="G28" s="610"/>
      <c r="H28" s="610"/>
      <c r="I28" s="630"/>
    </row>
    <row r="29" spans="1:10">
      <c r="A29" s="607"/>
      <c r="B29" s="607" t="s">
        <v>85</v>
      </c>
      <c r="C29" s="607"/>
      <c r="D29" s="624"/>
      <c r="E29" s="624">
        <v>274668</v>
      </c>
      <c r="F29" s="624">
        <v>16300</v>
      </c>
      <c r="G29" s="610"/>
      <c r="H29" s="610"/>
      <c r="I29" s="629"/>
    </row>
    <row r="30" spans="1:10">
      <c r="A30" s="607"/>
      <c r="B30" s="607"/>
      <c r="C30" s="607"/>
      <c r="D30" s="624"/>
      <c r="E30" s="624"/>
      <c r="F30" s="624"/>
      <c r="G30" s="610"/>
      <c r="H30" s="610"/>
      <c r="I30" s="630"/>
    </row>
    <row r="31" spans="1:10">
      <c r="A31" s="607" t="s">
        <v>60</v>
      </c>
      <c r="B31" s="607"/>
      <c r="C31" s="607"/>
      <c r="D31" s="606">
        <f>D13-D25</f>
        <v>0</v>
      </c>
      <c r="E31" s="606">
        <f>E13-E25-E29</f>
        <v>0</v>
      </c>
      <c r="F31" s="606">
        <f>F13-F25-F29</f>
        <v>0</v>
      </c>
      <c r="G31" s="606">
        <f>G13-G25-G29</f>
        <v>0</v>
      </c>
      <c r="H31" s="606">
        <f>H13-H25-H29</f>
        <v>0</v>
      </c>
      <c r="I31" s="606">
        <f>I13-I25-I29</f>
        <v>50412</v>
      </c>
    </row>
    <row r="32" spans="1:10" ht="19.5" customHeight="1">
      <c r="A32" s="607"/>
      <c r="B32" s="607"/>
      <c r="C32" s="607"/>
      <c r="D32" s="610"/>
      <c r="E32" s="610"/>
      <c r="F32" s="610"/>
      <c r="G32" s="610"/>
      <c r="H32" s="610"/>
      <c r="I32" s="610"/>
      <c r="J32" s="2"/>
    </row>
    <row r="33" spans="1:9" ht="13.5" hidden="1" customHeight="1">
      <c r="A33" s="7"/>
      <c r="B33" s="7"/>
      <c r="C33" s="7"/>
      <c r="D33" s="72"/>
      <c r="E33" s="72"/>
      <c r="F33" s="72"/>
      <c r="G33" s="72"/>
      <c r="H33" s="360"/>
      <c r="I33" s="360"/>
    </row>
    <row r="34" spans="1:9" ht="13.5" hidden="1" customHeight="1">
      <c r="A34" s="608" t="s">
        <v>87</v>
      </c>
      <c r="B34" s="608"/>
      <c r="C34" s="60" t="e">
        <f>SUM(#REF!)</f>
        <v>#REF!</v>
      </c>
      <c r="D34" s="362"/>
      <c r="E34" s="362"/>
      <c r="F34" s="362"/>
      <c r="G34" s="362"/>
      <c r="H34" s="360"/>
      <c r="I34" s="360"/>
    </row>
    <row r="35" spans="1:9">
      <c r="A35" s="607" t="s">
        <v>88</v>
      </c>
      <c r="B35" s="607"/>
      <c r="C35" s="607"/>
      <c r="D35" s="606">
        <f>SUM(D31:I32)</f>
        <v>50412</v>
      </c>
      <c r="E35" s="606"/>
      <c r="F35" s="606"/>
      <c r="G35" s="606"/>
      <c r="H35" s="606"/>
      <c r="I35" s="606"/>
    </row>
    <row r="36" spans="1:9">
      <c r="A36" s="607"/>
      <c r="B36" s="607"/>
      <c r="C36" s="607"/>
      <c r="D36" s="606"/>
      <c r="E36" s="606"/>
      <c r="F36" s="606"/>
      <c r="G36" s="606"/>
      <c r="H36" s="606"/>
      <c r="I36" s="606"/>
    </row>
    <row r="40" spans="1:9">
      <c r="E40" s="2"/>
    </row>
  </sheetData>
  <mergeCells count="62">
    <mergeCell ref="I31:I32"/>
    <mergeCell ref="D35:I36"/>
    <mergeCell ref="H20:H21"/>
    <mergeCell ref="H23:H24"/>
    <mergeCell ref="H25:H26"/>
    <mergeCell ref="H27:H28"/>
    <mergeCell ref="H29:H30"/>
    <mergeCell ref="H31:H32"/>
    <mergeCell ref="F29:F30"/>
    <mergeCell ref="G29:G30"/>
    <mergeCell ref="D31:D32"/>
    <mergeCell ref="E31:E32"/>
    <mergeCell ref="F31:F32"/>
    <mergeCell ref="G31:G32"/>
    <mergeCell ref="G25:G26"/>
    <mergeCell ref="I23:I24"/>
    <mergeCell ref="A34:B34"/>
    <mergeCell ref="A35:C36"/>
    <mergeCell ref="B7:B8"/>
    <mergeCell ref="A3:A10"/>
    <mergeCell ref="B9:B10"/>
    <mergeCell ref="A31:C32"/>
    <mergeCell ref="A27:A30"/>
    <mergeCell ref="B27:C28"/>
    <mergeCell ref="B25:C26"/>
    <mergeCell ref="B3:B4"/>
    <mergeCell ref="B11:C11"/>
    <mergeCell ref="A13:B13"/>
    <mergeCell ref="B5:B6"/>
    <mergeCell ref="A22:C22"/>
    <mergeCell ref="A20:C21"/>
    <mergeCell ref="A23:A26"/>
    <mergeCell ref="B23:C24"/>
    <mergeCell ref="D23:D24"/>
    <mergeCell ref="E23:E24"/>
    <mergeCell ref="F23:F24"/>
    <mergeCell ref="B29:C30"/>
    <mergeCell ref="D29:D30"/>
    <mergeCell ref="E29:E30"/>
    <mergeCell ref="D27:D28"/>
    <mergeCell ref="E27:E28"/>
    <mergeCell ref="A11:A12"/>
    <mergeCell ref="B15:C15"/>
    <mergeCell ref="A16:A19"/>
    <mergeCell ref="B16:C17"/>
    <mergeCell ref="B18:C19"/>
    <mergeCell ref="A14:A15"/>
    <mergeCell ref="B14:C14"/>
    <mergeCell ref="I25:I26"/>
    <mergeCell ref="I27:I28"/>
    <mergeCell ref="I29:I30"/>
    <mergeCell ref="D20:D21"/>
    <mergeCell ref="E20:E21"/>
    <mergeCell ref="F20:F21"/>
    <mergeCell ref="G20:G21"/>
    <mergeCell ref="F27:F28"/>
    <mergeCell ref="G27:G28"/>
    <mergeCell ref="G23:G24"/>
    <mergeCell ref="D25:D26"/>
    <mergeCell ref="E25:E26"/>
    <mergeCell ref="F25:F26"/>
    <mergeCell ref="I20:I21"/>
  </mergeCells>
  <phoneticPr fontId="28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769-4D6C-4961-B41A-AD41A5B32088}">
  <sheetPr>
    <tabColor rgb="FFFF0066"/>
  </sheetPr>
  <dimension ref="A1:Z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F11" sqref="F11"/>
    </sheetView>
  </sheetViews>
  <sheetFormatPr defaultColWidth="9" defaultRowHeight="13.5"/>
  <cols>
    <col min="1" max="1" width="9" customWidth="1"/>
    <col min="2" max="2" width="25" customWidth="1"/>
    <col min="3" max="3" width="15.375" customWidth="1"/>
    <col min="4" max="9" width="15.625" style="302" customWidth="1"/>
    <col min="10" max="10" width="15.375" style="302" hidden="1" customWidth="1"/>
    <col min="11" max="20" width="15.625" style="302" hidden="1" customWidth="1"/>
    <col min="21" max="21" width="15.375" style="302" customWidth="1"/>
    <col min="22" max="22" width="12.875" customWidth="1"/>
    <col min="23" max="23" width="13.25" bestFit="1" customWidth="1"/>
    <col min="24" max="24" width="10.625" bestFit="1" customWidth="1"/>
    <col min="25" max="25" width="11.125" bestFit="1" customWidth="1"/>
    <col min="26" max="26" width="15" bestFit="1" customWidth="1"/>
  </cols>
  <sheetData>
    <row r="1" spans="1:23" ht="36" customHeight="1">
      <c r="A1" s="1" t="s">
        <v>260</v>
      </c>
      <c r="C1" s="112" t="s">
        <v>247</v>
      </c>
      <c r="D1" s="233"/>
      <c r="E1" s="232"/>
      <c r="F1" s="232" t="s">
        <v>262</v>
      </c>
      <c r="G1" s="233"/>
      <c r="H1" s="233" t="s">
        <v>298</v>
      </c>
      <c r="I1" s="232"/>
      <c r="J1" s="232"/>
      <c r="K1" s="233"/>
      <c r="L1" s="233"/>
      <c r="M1" s="233"/>
      <c r="N1" s="233"/>
      <c r="O1" s="232"/>
      <c r="P1" s="233"/>
      <c r="Q1" s="233"/>
      <c r="R1" s="232"/>
      <c r="S1" s="232"/>
      <c r="T1" s="232"/>
      <c r="U1" s="234"/>
      <c r="V1" s="2"/>
    </row>
    <row r="2" spans="1:23" s="15" customFormat="1" ht="20.100000000000001" customHeight="1">
      <c r="A2" s="37"/>
      <c r="B2" s="204" t="s">
        <v>1</v>
      </c>
      <c r="C2" s="66"/>
      <c r="D2" s="235">
        <v>45631</v>
      </c>
      <c r="E2" s="235">
        <v>45692</v>
      </c>
      <c r="F2" s="235">
        <v>45695</v>
      </c>
      <c r="G2" s="237">
        <v>45753</v>
      </c>
      <c r="H2" s="237">
        <v>45804</v>
      </c>
      <c r="I2" s="235">
        <v>45818</v>
      </c>
      <c r="J2" s="238"/>
      <c r="K2" s="235"/>
      <c r="L2" s="235"/>
      <c r="M2" s="235"/>
      <c r="N2" s="235"/>
      <c r="O2" s="236"/>
      <c r="P2" s="235"/>
      <c r="Q2" s="235"/>
      <c r="R2" s="237"/>
      <c r="S2" s="235"/>
      <c r="T2" s="235"/>
      <c r="U2" s="239" t="s">
        <v>2</v>
      </c>
    </row>
    <row r="3" spans="1:23" s="15" customFormat="1" ht="20.100000000000001" customHeight="1">
      <c r="A3" s="473" t="s">
        <v>3</v>
      </c>
      <c r="B3" s="474" t="s">
        <v>4</v>
      </c>
      <c r="C3" s="98" t="s">
        <v>5</v>
      </c>
      <c r="D3" s="242"/>
      <c r="E3" s="242"/>
      <c r="F3" s="242"/>
      <c r="G3" s="241"/>
      <c r="H3" s="241"/>
      <c r="I3" s="241"/>
      <c r="J3" s="241"/>
      <c r="K3" s="241"/>
      <c r="L3" s="241"/>
      <c r="M3" s="241"/>
      <c r="N3" s="241"/>
      <c r="O3" s="243"/>
      <c r="P3" s="241"/>
      <c r="Q3" s="241"/>
      <c r="R3" s="240"/>
      <c r="S3" s="241"/>
      <c r="T3" s="241"/>
      <c r="U3" s="244">
        <f>SUM(D3:T3)</f>
        <v>0</v>
      </c>
    </row>
    <row r="4" spans="1:23" s="15" customFormat="1" ht="20.100000000000001" customHeight="1">
      <c r="A4" s="473"/>
      <c r="B4" s="474"/>
      <c r="C4" s="98" t="s">
        <v>6</v>
      </c>
      <c r="D4" s="73">
        <f t="shared" ref="D4:I4" si="0">D3*1.1</f>
        <v>0</v>
      </c>
      <c r="E4" s="73">
        <f t="shared" si="0"/>
        <v>0</v>
      </c>
      <c r="F4" s="73">
        <f t="shared" si="0"/>
        <v>0</v>
      </c>
      <c r="G4" s="73">
        <f t="shared" si="0"/>
        <v>0</v>
      </c>
      <c r="H4" s="73">
        <f t="shared" si="0"/>
        <v>0</v>
      </c>
      <c r="I4" s="73">
        <f t="shared" si="0"/>
        <v>0</v>
      </c>
      <c r="J4" s="73"/>
      <c r="K4" s="73">
        <f t="shared" ref="K4:S4" si="1">K3*1.1</f>
        <v>0</v>
      </c>
      <c r="L4" s="73">
        <f t="shared" si="1"/>
        <v>0</v>
      </c>
      <c r="M4" s="73"/>
      <c r="N4" s="73"/>
      <c r="O4" s="245"/>
      <c r="P4" s="73">
        <f t="shared" si="1"/>
        <v>0</v>
      </c>
      <c r="Q4" s="73"/>
      <c r="R4" s="117">
        <f t="shared" si="1"/>
        <v>0</v>
      </c>
      <c r="S4" s="73">
        <f t="shared" si="1"/>
        <v>0</v>
      </c>
      <c r="T4" s="73"/>
      <c r="U4" s="244">
        <f t="shared" ref="U4:U67" si="2">SUM(D4:T4)</f>
        <v>0</v>
      </c>
    </row>
    <row r="5" spans="1:23" s="15" customFormat="1" ht="24.95" customHeight="1">
      <c r="A5" s="473"/>
      <c r="B5" s="442" t="s">
        <v>7</v>
      </c>
      <c r="C5" s="98" t="s">
        <v>5</v>
      </c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8"/>
      <c r="Q5" s="247"/>
      <c r="R5" s="247"/>
      <c r="S5" s="247"/>
      <c r="T5" s="247"/>
      <c r="U5" s="244">
        <f t="shared" si="2"/>
        <v>0</v>
      </c>
    </row>
    <row r="6" spans="1:23" s="15" customFormat="1" ht="20.100000000000001" customHeight="1">
      <c r="A6" s="473"/>
      <c r="B6" s="442"/>
      <c r="C6" s="98" t="s">
        <v>6</v>
      </c>
      <c r="D6" s="73">
        <f t="shared" ref="D6:I6" si="3">D5*1.1</f>
        <v>0</v>
      </c>
      <c r="E6" s="73">
        <f t="shared" si="3"/>
        <v>0</v>
      </c>
      <c r="F6" s="73">
        <f t="shared" si="3"/>
        <v>0</v>
      </c>
      <c r="G6" s="73">
        <f t="shared" si="3"/>
        <v>0</v>
      </c>
      <c r="H6" s="73">
        <f t="shared" si="3"/>
        <v>0</v>
      </c>
      <c r="I6" s="73">
        <f t="shared" si="3"/>
        <v>0</v>
      </c>
      <c r="J6" s="73"/>
      <c r="K6" s="73">
        <f>K5*1.1</f>
        <v>0</v>
      </c>
      <c r="L6" s="73">
        <f>L5*1.1</f>
        <v>0</v>
      </c>
      <c r="M6" s="73"/>
      <c r="N6" s="73"/>
      <c r="O6" s="73">
        <f>O5*1.1</f>
        <v>0</v>
      </c>
      <c r="P6" s="73">
        <f>P5*1.1</f>
        <v>0</v>
      </c>
      <c r="Q6" s="73"/>
      <c r="R6" s="73">
        <f>R5*1.1</f>
        <v>0</v>
      </c>
      <c r="S6" s="73">
        <f>S5*1.1</f>
        <v>0</v>
      </c>
      <c r="T6" s="73"/>
      <c r="U6" s="244">
        <f t="shared" si="2"/>
        <v>0</v>
      </c>
    </row>
    <row r="7" spans="1:23" s="15" customFormat="1" ht="20.100000000000001" customHeight="1">
      <c r="A7" s="473"/>
      <c r="B7" s="442" t="s">
        <v>8</v>
      </c>
      <c r="C7" s="92" t="s">
        <v>5</v>
      </c>
      <c r="D7" s="74"/>
      <c r="E7" s="74">
        <f>844560-F7</f>
        <v>832560</v>
      </c>
      <c r="F7" s="74">
        <v>12000</v>
      </c>
      <c r="G7" s="74">
        <v>795860</v>
      </c>
      <c r="H7" s="74">
        <v>891860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244">
        <f t="shared" si="2"/>
        <v>2532280</v>
      </c>
    </row>
    <row r="8" spans="1:23" s="15" customFormat="1" ht="18.75" customHeight="1">
      <c r="A8" s="473"/>
      <c r="B8" s="442"/>
      <c r="C8" s="92" t="s">
        <v>6</v>
      </c>
      <c r="D8" s="73">
        <f t="shared" ref="D8:S8" si="4">D7*1.1</f>
        <v>0</v>
      </c>
      <c r="E8" s="73">
        <f t="shared" si="4"/>
        <v>915816.00000000012</v>
      </c>
      <c r="F8" s="73">
        <f t="shared" si="4"/>
        <v>13200.000000000002</v>
      </c>
      <c r="G8" s="73">
        <f t="shared" si="4"/>
        <v>875446.00000000012</v>
      </c>
      <c r="H8" s="73">
        <f t="shared" si="4"/>
        <v>981046.00000000012</v>
      </c>
      <c r="I8" s="73">
        <f t="shared" si="4"/>
        <v>0</v>
      </c>
      <c r="J8" s="73"/>
      <c r="K8" s="73">
        <f>K7*1.1</f>
        <v>0</v>
      </c>
      <c r="L8" s="73">
        <f>L7*1.1</f>
        <v>0</v>
      </c>
      <c r="M8" s="73">
        <f>M7*1.1</f>
        <v>0</v>
      </c>
      <c r="N8" s="73">
        <f>N7*1.1</f>
        <v>0</v>
      </c>
      <c r="O8" s="73">
        <f t="shared" si="4"/>
        <v>0</v>
      </c>
      <c r="P8" s="73">
        <f t="shared" si="4"/>
        <v>0</v>
      </c>
      <c r="Q8" s="73">
        <f>Q7*1.1</f>
        <v>0</v>
      </c>
      <c r="R8" s="73">
        <f t="shared" si="4"/>
        <v>0</v>
      </c>
      <c r="S8" s="73">
        <f t="shared" si="4"/>
        <v>0</v>
      </c>
      <c r="T8" s="73"/>
      <c r="U8" s="244">
        <f t="shared" si="2"/>
        <v>2785508.0000000005</v>
      </c>
      <c r="V8" s="346"/>
      <c r="W8" s="310">
        <f>SUM(E8:F8)</f>
        <v>929016.00000000012</v>
      </c>
    </row>
    <row r="9" spans="1:23" s="15" customFormat="1" ht="20.100000000000001" customHeight="1">
      <c r="A9" s="473"/>
      <c r="B9" s="474" t="s">
        <v>9</v>
      </c>
      <c r="C9" s="98" t="s">
        <v>5</v>
      </c>
      <c r="D9" s="74">
        <v>447150</v>
      </c>
      <c r="E9" s="74"/>
      <c r="F9" s="74"/>
      <c r="G9" s="74"/>
      <c r="H9" s="74">
        <v>145200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244">
        <f t="shared" si="2"/>
        <v>592350</v>
      </c>
      <c r="V9" s="34"/>
    </row>
    <row r="10" spans="1:23" s="15" customFormat="1" ht="20.100000000000001" customHeight="1">
      <c r="A10" s="473"/>
      <c r="B10" s="474"/>
      <c r="C10" s="98" t="s">
        <v>6</v>
      </c>
      <c r="D10" s="117">
        <f t="shared" ref="D10:L10" si="5">D9*1.1</f>
        <v>491865.00000000006</v>
      </c>
      <c r="E10" s="117">
        <f t="shared" si="5"/>
        <v>0</v>
      </c>
      <c r="F10" s="117">
        <f t="shared" si="5"/>
        <v>0</v>
      </c>
      <c r="G10" s="117">
        <f t="shared" si="5"/>
        <v>0</v>
      </c>
      <c r="H10" s="117">
        <f t="shared" si="5"/>
        <v>159720</v>
      </c>
      <c r="I10" s="117">
        <f t="shared" si="5"/>
        <v>0</v>
      </c>
      <c r="J10" s="117"/>
      <c r="K10" s="117">
        <f t="shared" si="5"/>
        <v>0</v>
      </c>
      <c r="L10" s="117">
        <f t="shared" si="5"/>
        <v>0</v>
      </c>
      <c r="M10" s="117"/>
      <c r="N10" s="117"/>
      <c r="O10" s="73">
        <f>O9*1.1</f>
        <v>0</v>
      </c>
      <c r="P10" s="73">
        <f>P9*1.1</f>
        <v>0</v>
      </c>
      <c r="Q10" s="73">
        <f>Q9*1.1</f>
        <v>0</v>
      </c>
      <c r="R10" s="73">
        <f>R9*1.1</f>
        <v>0</v>
      </c>
      <c r="S10" s="73">
        <f>S9*1.1</f>
        <v>0</v>
      </c>
      <c r="T10" s="73"/>
      <c r="U10" s="244">
        <f t="shared" si="2"/>
        <v>651585</v>
      </c>
    </row>
    <row r="11" spans="1:23" s="15" customFormat="1" ht="20.100000000000001" customHeight="1">
      <c r="A11" s="473"/>
      <c r="B11" s="442" t="s">
        <v>10</v>
      </c>
      <c r="C11" s="98" t="s">
        <v>5</v>
      </c>
      <c r="D11" s="74">
        <f>D9/0.95</f>
        <v>470684.21052631579</v>
      </c>
      <c r="E11" s="74"/>
      <c r="F11" s="74"/>
      <c r="G11" s="74"/>
      <c r="H11" s="74">
        <f>H9/0.95</f>
        <v>152842.10526315789</v>
      </c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244">
        <f t="shared" si="2"/>
        <v>623526.31578947371</v>
      </c>
    </row>
    <row r="12" spans="1:23" s="15" customFormat="1" ht="20.100000000000001" customHeight="1">
      <c r="A12" s="473"/>
      <c r="B12" s="442"/>
      <c r="C12" s="98" t="s">
        <v>6</v>
      </c>
      <c r="D12" s="75">
        <f>D11*1.1</f>
        <v>517752.63157894742</v>
      </c>
      <c r="E12" s="75">
        <f>E11*1.1</f>
        <v>0</v>
      </c>
      <c r="F12" s="75">
        <f>F11*1.1</f>
        <v>0</v>
      </c>
      <c r="G12" s="75">
        <f>G11*1.1</f>
        <v>0</v>
      </c>
      <c r="H12" s="75">
        <f>H11*1.1</f>
        <v>168126.31578947371</v>
      </c>
      <c r="I12" s="75">
        <f t="shared" ref="I12:S12" si="6">I11*1.1</f>
        <v>0</v>
      </c>
      <c r="J12" s="75"/>
      <c r="K12" s="75">
        <f t="shared" si="6"/>
        <v>0</v>
      </c>
      <c r="L12" s="75">
        <f t="shared" si="6"/>
        <v>0</v>
      </c>
      <c r="M12" s="75"/>
      <c r="N12" s="75"/>
      <c r="O12" s="75">
        <f t="shared" si="6"/>
        <v>0</v>
      </c>
      <c r="P12" s="75">
        <f t="shared" si="6"/>
        <v>0</v>
      </c>
      <c r="Q12" s="75">
        <f t="shared" si="6"/>
        <v>0</v>
      </c>
      <c r="R12" s="75">
        <f t="shared" si="6"/>
        <v>0</v>
      </c>
      <c r="S12" s="75">
        <f t="shared" si="6"/>
        <v>0</v>
      </c>
      <c r="T12" s="75"/>
      <c r="U12" s="244">
        <f t="shared" si="2"/>
        <v>685878.94736842113</v>
      </c>
    </row>
    <row r="13" spans="1:23" s="15" customFormat="1" ht="20.100000000000001" customHeight="1">
      <c r="A13" s="473"/>
      <c r="B13" s="442" t="s">
        <v>11</v>
      </c>
      <c r="C13" s="98" t="s">
        <v>5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244">
        <f t="shared" si="2"/>
        <v>0</v>
      </c>
    </row>
    <row r="14" spans="1:23" s="15" customFormat="1" ht="20.100000000000001" customHeight="1">
      <c r="A14" s="473"/>
      <c r="B14" s="442"/>
      <c r="C14" s="98" t="s">
        <v>6</v>
      </c>
      <c r="D14" s="75">
        <f t="shared" ref="D14:T14" si="7">D13*1.1</f>
        <v>0</v>
      </c>
      <c r="E14" s="75">
        <f t="shared" si="7"/>
        <v>0</v>
      </c>
      <c r="F14" s="75">
        <f t="shared" si="7"/>
        <v>0</v>
      </c>
      <c r="G14" s="75">
        <f t="shared" si="7"/>
        <v>0</v>
      </c>
      <c r="H14" s="75">
        <f t="shared" si="7"/>
        <v>0</v>
      </c>
      <c r="I14" s="75">
        <f t="shared" si="7"/>
        <v>0</v>
      </c>
      <c r="J14" s="75"/>
      <c r="K14" s="75">
        <f t="shared" si="7"/>
        <v>0</v>
      </c>
      <c r="L14" s="75">
        <f t="shared" si="7"/>
        <v>0</v>
      </c>
      <c r="M14" s="75"/>
      <c r="N14" s="75"/>
      <c r="O14" s="75">
        <f t="shared" si="7"/>
        <v>0</v>
      </c>
      <c r="P14" s="75">
        <f t="shared" si="7"/>
        <v>0</v>
      </c>
      <c r="Q14" s="75">
        <f t="shared" si="7"/>
        <v>0</v>
      </c>
      <c r="R14" s="75">
        <f t="shared" si="7"/>
        <v>0</v>
      </c>
      <c r="S14" s="75">
        <f t="shared" si="7"/>
        <v>0</v>
      </c>
      <c r="T14" s="75">
        <f t="shared" si="7"/>
        <v>0</v>
      </c>
      <c r="U14" s="244">
        <f t="shared" si="2"/>
        <v>0</v>
      </c>
    </row>
    <row r="15" spans="1:23" s="15" customFormat="1" ht="20.100000000000001" customHeight="1">
      <c r="A15" s="473"/>
      <c r="B15" s="442" t="s">
        <v>12</v>
      </c>
      <c r="C15" s="92" t="s">
        <v>5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244">
        <f t="shared" si="2"/>
        <v>0</v>
      </c>
    </row>
    <row r="16" spans="1:23" s="15" customFormat="1" ht="20.100000000000001" customHeight="1">
      <c r="A16" s="473"/>
      <c r="B16" s="442"/>
      <c r="C16" s="92" t="s">
        <v>6</v>
      </c>
      <c r="D16" s="73">
        <f>D15*1.1</f>
        <v>0</v>
      </c>
      <c r="E16" s="73">
        <f>E15*1.1</f>
        <v>0</v>
      </c>
      <c r="F16" s="73">
        <f>F15*1.1</f>
        <v>0</v>
      </c>
      <c r="G16" s="73"/>
      <c r="H16" s="73"/>
      <c r="I16" s="73"/>
      <c r="J16" s="73"/>
      <c r="K16" s="73"/>
      <c r="L16" s="73">
        <f>L15*1.1</f>
        <v>0</v>
      </c>
      <c r="M16" s="73"/>
      <c r="N16" s="73"/>
      <c r="O16" s="73"/>
      <c r="P16" s="73">
        <f>P15*1.1</f>
        <v>0</v>
      </c>
      <c r="Q16" s="73"/>
      <c r="R16" s="73">
        <f>R15*1.1</f>
        <v>0</v>
      </c>
      <c r="S16" s="73"/>
      <c r="T16" s="73"/>
      <c r="U16" s="244">
        <f t="shared" si="2"/>
        <v>0</v>
      </c>
    </row>
    <row r="17" spans="1:22" s="15" customFormat="1" ht="20.100000000000001" customHeight="1">
      <c r="A17" s="473"/>
      <c r="B17" s="472" t="s">
        <v>13</v>
      </c>
      <c r="C17" s="92" t="s">
        <v>5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244">
        <f t="shared" si="2"/>
        <v>0</v>
      </c>
    </row>
    <row r="18" spans="1:22" s="15" customFormat="1" ht="20.100000000000001" customHeight="1">
      <c r="A18" s="473"/>
      <c r="B18" s="472"/>
      <c r="C18" s="92" t="s">
        <v>6</v>
      </c>
      <c r="D18" s="73">
        <f t="shared" ref="D18:I18" si="8">D17*1.1</f>
        <v>0</v>
      </c>
      <c r="E18" s="73">
        <f t="shared" si="8"/>
        <v>0</v>
      </c>
      <c r="F18" s="73">
        <f t="shared" si="8"/>
        <v>0</v>
      </c>
      <c r="G18" s="73">
        <f t="shared" si="8"/>
        <v>0</v>
      </c>
      <c r="H18" s="73"/>
      <c r="I18" s="73">
        <f t="shared" si="8"/>
        <v>0</v>
      </c>
      <c r="J18" s="73"/>
      <c r="K18" s="73"/>
      <c r="L18" s="73">
        <f>L17*1.1</f>
        <v>0</v>
      </c>
      <c r="M18" s="73"/>
      <c r="N18" s="73"/>
      <c r="O18" s="73">
        <f>O17*1.1</f>
        <v>0</v>
      </c>
      <c r="P18" s="73">
        <f>P17*1.1</f>
        <v>0</v>
      </c>
      <c r="Q18" s="73"/>
      <c r="R18" s="73">
        <f>R17*1.1</f>
        <v>0</v>
      </c>
      <c r="S18" s="73">
        <f>S17*1.1</f>
        <v>0</v>
      </c>
      <c r="T18" s="73"/>
      <c r="U18" s="244">
        <f t="shared" si="2"/>
        <v>0</v>
      </c>
      <c r="V18" s="23"/>
    </row>
    <row r="19" spans="1:22" s="15" customFormat="1" ht="20.100000000000001" customHeight="1">
      <c r="A19" s="473"/>
      <c r="B19" s="442" t="s">
        <v>14</v>
      </c>
      <c r="C19" s="92" t="s">
        <v>5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244">
        <f t="shared" si="2"/>
        <v>0</v>
      </c>
    </row>
    <row r="20" spans="1:22" s="15" customFormat="1" ht="20.100000000000001" customHeight="1">
      <c r="A20" s="473"/>
      <c r="B20" s="442"/>
      <c r="C20" s="92" t="s">
        <v>6</v>
      </c>
      <c r="D20" s="73">
        <f t="shared" ref="D20:S20" si="9">D19*1.1</f>
        <v>0</v>
      </c>
      <c r="E20" s="73">
        <f t="shared" si="9"/>
        <v>0</v>
      </c>
      <c r="F20" s="73">
        <f t="shared" si="9"/>
        <v>0</v>
      </c>
      <c r="G20" s="73">
        <f t="shared" si="9"/>
        <v>0</v>
      </c>
      <c r="H20" s="73"/>
      <c r="I20" s="73">
        <f t="shared" si="9"/>
        <v>0</v>
      </c>
      <c r="J20" s="73"/>
      <c r="K20" s="73">
        <f t="shared" si="9"/>
        <v>0</v>
      </c>
      <c r="L20" s="73">
        <f t="shared" si="9"/>
        <v>0</v>
      </c>
      <c r="M20" s="73"/>
      <c r="N20" s="73"/>
      <c r="O20" s="73">
        <f>O19*1.1</f>
        <v>0</v>
      </c>
      <c r="P20" s="73">
        <f t="shared" si="9"/>
        <v>0</v>
      </c>
      <c r="Q20" s="73">
        <f t="shared" si="9"/>
        <v>0</v>
      </c>
      <c r="R20" s="73">
        <f t="shared" si="9"/>
        <v>0</v>
      </c>
      <c r="S20" s="73">
        <f t="shared" si="9"/>
        <v>0</v>
      </c>
      <c r="T20" s="73"/>
      <c r="U20" s="244">
        <f t="shared" si="2"/>
        <v>0</v>
      </c>
    </row>
    <row r="21" spans="1:22" s="15" customFormat="1" ht="20.100000000000001" customHeight="1">
      <c r="A21" s="473"/>
      <c r="B21" s="472" t="s">
        <v>15</v>
      </c>
      <c r="C21" s="92" t="s">
        <v>5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244">
        <f t="shared" si="2"/>
        <v>0</v>
      </c>
    </row>
    <row r="22" spans="1:22" s="15" customFormat="1" ht="20.100000000000001" customHeight="1">
      <c r="A22" s="473"/>
      <c r="B22" s="472"/>
      <c r="C22" s="92" t="s">
        <v>6</v>
      </c>
      <c r="D22" s="75"/>
      <c r="E22" s="75">
        <f>E21*1.1</f>
        <v>0</v>
      </c>
      <c r="F22" s="75"/>
      <c r="G22" s="75"/>
      <c r="H22" s="75"/>
      <c r="I22" s="75">
        <f>I21*1.1</f>
        <v>0</v>
      </c>
      <c r="J22" s="75"/>
      <c r="K22" s="75">
        <f>K21*1.1</f>
        <v>0</v>
      </c>
      <c r="L22" s="75">
        <f>L21*1.1</f>
        <v>0</v>
      </c>
      <c r="M22" s="75"/>
      <c r="N22" s="75"/>
      <c r="O22" s="75"/>
      <c r="P22" s="75">
        <f>P21*1.1</f>
        <v>0</v>
      </c>
      <c r="Q22" s="75"/>
      <c r="R22" s="75">
        <f>R21*1.1</f>
        <v>0</v>
      </c>
      <c r="S22" s="75"/>
      <c r="T22" s="75"/>
      <c r="U22" s="244">
        <f t="shared" si="2"/>
        <v>0</v>
      </c>
    </row>
    <row r="23" spans="1:22" s="15" customFormat="1" ht="20.100000000000001" customHeight="1">
      <c r="A23" s="473"/>
      <c r="B23" s="442" t="s">
        <v>16</v>
      </c>
      <c r="C23" s="92" t="s">
        <v>5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244">
        <f t="shared" si="2"/>
        <v>0</v>
      </c>
    </row>
    <row r="24" spans="1:22" s="15" customFormat="1" ht="20.100000000000001" customHeight="1">
      <c r="A24" s="473"/>
      <c r="B24" s="442"/>
      <c r="C24" s="92" t="s">
        <v>6</v>
      </c>
      <c r="D24" s="73"/>
      <c r="E24" s="73">
        <f t="shared" ref="E24:T24" si="10">E23*1.1</f>
        <v>0</v>
      </c>
      <c r="F24" s="73"/>
      <c r="G24" s="73"/>
      <c r="H24" s="73"/>
      <c r="I24" s="73">
        <f t="shared" si="10"/>
        <v>0</v>
      </c>
      <c r="J24" s="73"/>
      <c r="K24" s="73">
        <f t="shared" si="10"/>
        <v>0</v>
      </c>
      <c r="L24" s="73">
        <f t="shared" si="10"/>
        <v>0</v>
      </c>
      <c r="M24" s="73"/>
      <c r="N24" s="73"/>
      <c r="O24" s="73"/>
      <c r="P24" s="73">
        <f t="shared" si="10"/>
        <v>0</v>
      </c>
      <c r="Q24" s="73">
        <f t="shared" si="10"/>
        <v>0</v>
      </c>
      <c r="R24" s="73">
        <f t="shared" si="10"/>
        <v>0</v>
      </c>
      <c r="S24" s="73">
        <f t="shared" si="10"/>
        <v>0</v>
      </c>
      <c r="T24" s="73">
        <f t="shared" si="10"/>
        <v>0</v>
      </c>
      <c r="U24" s="244">
        <f t="shared" si="2"/>
        <v>0</v>
      </c>
    </row>
    <row r="25" spans="1:22" s="15" customFormat="1" ht="20.100000000000001" customHeight="1">
      <c r="A25" s="473"/>
      <c r="B25" s="442" t="s">
        <v>17</v>
      </c>
      <c r="C25" s="92" t="s">
        <v>5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244">
        <f t="shared" si="2"/>
        <v>0</v>
      </c>
    </row>
    <row r="26" spans="1:22" s="15" customFormat="1" ht="20.100000000000001" customHeight="1">
      <c r="A26" s="473"/>
      <c r="B26" s="442"/>
      <c r="C26" s="92" t="s">
        <v>6</v>
      </c>
      <c r="D26" s="73">
        <f t="shared" ref="D26:T26" si="11">D25*1.1</f>
        <v>0</v>
      </c>
      <c r="E26" s="73">
        <f t="shared" si="11"/>
        <v>0</v>
      </c>
      <c r="F26" s="73">
        <f>F25*1.08</f>
        <v>0</v>
      </c>
      <c r="G26" s="73">
        <f>G25*1.08</f>
        <v>0</v>
      </c>
      <c r="H26" s="73"/>
      <c r="I26" s="73">
        <f t="shared" si="11"/>
        <v>0</v>
      </c>
      <c r="J26" s="73"/>
      <c r="K26" s="73">
        <f t="shared" si="11"/>
        <v>0</v>
      </c>
      <c r="L26" s="73">
        <f t="shared" si="11"/>
        <v>0</v>
      </c>
      <c r="M26" s="73"/>
      <c r="N26" s="73"/>
      <c r="O26" s="73"/>
      <c r="P26" s="73">
        <f t="shared" si="11"/>
        <v>0</v>
      </c>
      <c r="Q26" s="73">
        <f t="shared" si="11"/>
        <v>0</v>
      </c>
      <c r="R26" s="73">
        <f t="shared" si="11"/>
        <v>0</v>
      </c>
      <c r="S26" s="73">
        <f t="shared" si="11"/>
        <v>0</v>
      </c>
      <c r="T26" s="73">
        <f t="shared" si="11"/>
        <v>0</v>
      </c>
      <c r="U26" s="244">
        <f t="shared" si="2"/>
        <v>0</v>
      </c>
    </row>
    <row r="27" spans="1:22" s="15" customFormat="1" ht="20.100000000000001" customHeight="1">
      <c r="A27" s="473"/>
      <c r="B27" s="442" t="s">
        <v>18</v>
      </c>
      <c r="C27" s="92" t="s">
        <v>5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244">
        <f t="shared" si="2"/>
        <v>0</v>
      </c>
    </row>
    <row r="28" spans="1:22" s="15" customFormat="1" ht="20.100000000000001" customHeight="1">
      <c r="A28" s="473"/>
      <c r="B28" s="442"/>
      <c r="C28" s="92" t="s">
        <v>6</v>
      </c>
      <c r="D28" s="73"/>
      <c r="E28" s="73">
        <f t="shared" ref="E28:T28" si="12">E27*1.1</f>
        <v>0</v>
      </c>
      <c r="F28" s="251"/>
      <c r="G28" s="73"/>
      <c r="H28" s="73"/>
      <c r="I28" s="73"/>
      <c r="J28" s="73"/>
      <c r="K28" s="73">
        <f t="shared" si="12"/>
        <v>0</v>
      </c>
      <c r="L28" s="73">
        <f t="shared" si="12"/>
        <v>0</v>
      </c>
      <c r="M28" s="73"/>
      <c r="N28" s="73"/>
      <c r="O28" s="73"/>
      <c r="P28" s="73">
        <f t="shared" si="12"/>
        <v>0</v>
      </c>
      <c r="Q28" s="73">
        <f t="shared" si="12"/>
        <v>0</v>
      </c>
      <c r="R28" s="73">
        <f t="shared" si="12"/>
        <v>0</v>
      </c>
      <c r="S28" s="73">
        <f t="shared" si="12"/>
        <v>0</v>
      </c>
      <c r="T28" s="73">
        <f t="shared" si="12"/>
        <v>0</v>
      </c>
      <c r="U28" s="244">
        <f t="shared" si="2"/>
        <v>0</v>
      </c>
    </row>
    <row r="29" spans="1:22" s="15" customFormat="1" ht="20.100000000000001" customHeight="1">
      <c r="A29" s="473"/>
      <c r="B29" s="442" t="s">
        <v>19</v>
      </c>
      <c r="C29" s="92" t="s">
        <v>5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244">
        <f t="shared" si="2"/>
        <v>0</v>
      </c>
      <c r="V29" s="43"/>
    </row>
    <row r="30" spans="1:22" s="15" customFormat="1" ht="20.100000000000001" customHeight="1">
      <c r="A30" s="473"/>
      <c r="B30" s="442"/>
      <c r="C30" s="92" t="s">
        <v>6</v>
      </c>
      <c r="D30" s="73">
        <f t="shared" ref="D30:T30" si="13">D29*1.1</f>
        <v>0</v>
      </c>
      <c r="E30" s="73">
        <f t="shared" si="13"/>
        <v>0</v>
      </c>
      <c r="F30" s="73">
        <f t="shared" si="13"/>
        <v>0</v>
      </c>
      <c r="G30" s="73"/>
      <c r="H30" s="73"/>
      <c r="I30" s="73">
        <f t="shared" si="13"/>
        <v>0</v>
      </c>
      <c r="J30" s="73"/>
      <c r="K30" s="73">
        <f t="shared" si="13"/>
        <v>0</v>
      </c>
      <c r="L30" s="73">
        <f t="shared" si="13"/>
        <v>0</v>
      </c>
      <c r="M30" s="73"/>
      <c r="N30" s="73"/>
      <c r="O30" s="73"/>
      <c r="P30" s="73">
        <f t="shared" si="13"/>
        <v>0</v>
      </c>
      <c r="Q30" s="73">
        <f t="shared" si="13"/>
        <v>0</v>
      </c>
      <c r="R30" s="73">
        <f t="shared" si="13"/>
        <v>0</v>
      </c>
      <c r="S30" s="73">
        <f t="shared" si="13"/>
        <v>0</v>
      </c>
      <c r="T30" s="73">
        <f t="shared" si="13"/>
        <v>0</v>
      </c>
      <c r="U30" s="244">
        <f t="shared" si="2"/>
        <v>0</v>
      </c>
    </row>
    <row r="31" spans="1:22" s="15" customFormat="1" ht="20.100000000000001" customHeight="1">
      <c r="A31" s="473"/>
      <c r="B31" s="442" t="s">
        <v>92</v>
      </c>
      <c r="C31" s="92" t="s">
        <v>5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244">
        <f t="shared" si="2"/>
        <v>0</v>
      </c>
    </row>
    <row r="32" spans="1:22" s="15" customFormat="1" ht="20.100000000000001" customHeight="1">
      <c r="A32" s="473"/>
      <c r="B32" s="442"/>
      <c r="C32" s="92" t="s">
        <v>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244">
        <f t="shared" si="2"/>
        <v>0</v>
      </c>
    </row>
    <row r="33" spans="1:21" s="15" customFormat="1" ht="20.100000000000001" customHeight="1">
      <c r="A33" s="473"/>
      <c r="B33" s="442" t="s">
        <v>94</v>
      </c>
      <c r="C33" s="92" t="s">
        <v>5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244">
        <f t="shared" si="2"/>
        <v>0</v>
      </c>
    </row>
    <row r="34" spans="1:21" s="15" customFormat="1" ht="20.100000000000001" customHeight="1">
      <c r="A34" s="473"/>
      <c r="B34" s="442"/>
      <c r="C34" s="92" t="s">
        <v>6</v>
      </c>
      <c r="D34" s="73">
        <f>D33*1.1</f>
        <v>0</v>
      </c>
      <c r="E34" s="73">
        <f>E33*1.1</f>
        <v>0</v>
      </c>
      <c r="F34" s="73">
        <f>F33*1.1</f>
        <v>0</v>
      </c>
      <c r="G34" s="73"/>
      <c r="H34" s="73"/>
      <c r="I34" s="73"/>
      <c r="J34" s="73"/>
      <c r="K34" s="73"/>
      <c r="L34" s="73"/>
      <c r="M34" s="73"/>
      <c r="N34" s="73"/>
      <c r="O34" s="73"/>
      <c r="P34" s="73">
        <f>P33*1.1</f>
        <v>0</v>
      </c>
      <c r="Q34" s="73"/>
      <c r="R34" s="73"/>
      <c r="S34" s="73"/>
      <c r="T34" s="73"/>
      <c r="U34" s="244">
        <f t="shared" si="2"/>
        <v>0</v>
      </c>
    </row>
    <row r="35" spans="1:21" s="15" customFormat="1" ht="20.100000000000001" customHeight="1">
      <c r="A35" s="473"/>
      <c r="B35" s="442" t="s">
        <v>97</v>
      </c>
      <c r="C35" s="92" t="s">
        <v>5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244">
        <f t="shared" si="2"/>
        <v>0</v>
      </c>
    </row>
    <row r="36" spans="1:21" s="15" customFormat="1" ht="20.100000000000001" customHeight="1">
      <c r="A36" s="473"/>
      <c r="B36" s="442"/>
      <c r="C36" s="92" t="s">
        <v>6</v>
      </c>
      <c r="D36" s="73">
        <f>D35*1.1</f>
        <v>0</v>
      </c>
      <c r="E36" s="73">
        <f>E35*1.1</f>
        <v>0</v>
      </c>
      <c r="F36" s="73">
        <f>F35*1.1</f>
        <v>0</v>
      </c>
      <c r="G36" s="73">
        <f>G35*1.1</f>
        <v>0</v>
      </c>
      <c r="H36" s="73"/>
      <c r="I36" s="73">
        <f t="shared" ref="I36:T36" si="14">I35*1.1</f>
        <v>0</v>
      </c>
      <c r="J36" s="73"/>
      <c r="K36" s="73">
        <f t="shared" si="14"/>
        <v>0</v>
      </c>
      <c r="L36" s="73">
        <f t="shared" si="14"/>
        <v>0</v>
      </c>
      <c r="M36" s="73"/>
      <c r="N36" s="73"/>
      <c r="O36" s="73"/>
      <c r="P36" s="73">
        <f>P35*1.1</f>
        <v>0</v>
      </c>
      <c r="Q36" s="73">
        <f>Q35*1.1</f>
        <v>0</v>
      </c>
      <c r="R36" s="73">
        <f t="shared" si="14"/>
        <v>0</v>
      </c>
      <c r="S36" s="73">
        <f t="shared" si="14"/>
        <v>0</v>
      </c>
      <c r="T36" s="73">
        <f t="shared" si="14"/>
        <v>0</v>
      </c>
      <c r="U36" s="244">
        <f t="shared" si="2"/>
        <v>0</v>
      </c>
    </row>
    <row r="37" spans="1:21" s="15" customFormat="1" ht="20.100000000000001" customHeight="1">
      <c r="A37" s="473"/>
      <c r="B37" s="442" t="s">
        <v>98</v>
      </c>
      <c r="C37" s="92" t="s">
        <v>5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244">
        <f t="shared" si="2"/>
        <v>0</v>
      </c>
    </row>
    <row r="38" spans="1:21" s="15" customFormat="1" ht="20.100000000000001" customHeight="1">
      <c r="A38" s="473"/>
      <c r="B38" s="442"/>
      <c r="C38" s="92" t="s">
        <v>6</v>
      </c>
      <c r="D38" s="73"/>
      <c r="E38" s="73">
        <f t="shared" ref="E38:S38" si="15">E37*1.1</f>
        <v>0</v>
      </c>
      <c r="F38" s="73"/>
      <c r="G38" s="73"/>
      <c r="H38" s="73"/>
      <c r="I38" s="73">
        <f t="shared" si="15"/>
        <v>0</v>
      </c>
      <c r="J38" s="73"/>
      <c r="K38" s="73">
        <f t="shared" si="15"/>
        <v>0</v>
      </c>
      <c r="L38" s="73">
        <f t="shared" si="15"/>
        <v>0</v>
      </c>
      <c r="M38" s="73"/>
      <c r="N38" s="73"/>
      <c r="O38" s="73"/>
      <c r="P38" s="73">
        <f t="shared" si="15"/>
        <v>0</v>
      </c>
      <c r="Q38" s="73"/>
      <c r="R38" s="73">
        <f t="shared" si="15"/>
        <v>0</v>
      </c>
      <c r="S38" s="73">
        <f t="shared" si="15"/>
        <v>0</v>
      </c>
      <c r="T38" s="73"/>
      <c r="U38" s="244">
        <f t="shared" si="2"/>
        <v>0</v>
      </c>
    </row>
    <row r="39" spans="1:21" s="15" customFormat="1" ht="20.100000000000001" customHeight="1">
      <c r="A39" s="473"/>
      <c r="B39" s="442" t="s">
        <v>100</v>
      </c>
      <c r="C39" s="92" t="s">
        <v>5</v>
      </c>
      <c r="D39" s="73">
        <v>2183868</v>
      </c>
      <c r="E39" s="73">
        <v>81000</v>
      </c>
      <c r="F39" s="73"/>
      <c r="G39" s="73">
        <v>1032260</v>
      </c>
      <c r="H39" s="73">
        <v>1468530</v>
      </c>
      <c r="I39" s="73">
        <v>485100</v>
      </c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244">
        <f t="shared" si="2"/>
        <v>5250758</v>
      </c>
    </row>
    <row r="40" spans="1:21" s="15" customFormat="1" ht="20.100000000000001" customHeight="1">
      <c r="A40" s="473"/>
      <c r="B40" s="442"/>
      <c r="C40" s="92" t="s">
        <v>6</v>
      </c>
      <c r="D40" s="73">
        <f t="shared" ref="D40:T40" si="16">D39*1.1</f>
        <v>2402254.8000000003</v>
      </c>
      <c r="E40" s="73">
        <f t="shared" si="16"/>
        <v>89100</v>
      </c>
      <c r="F40" s="73">
        <f t="shared" si="16"/>
        <v>0</v>
      </c>
      <c r="G40" s="73">
        <f t="shared" si="16"/>
        <v>1135486</v>
      </c>
      <c r="H40" s="73">
        <f t="shared" si="16"/>
        <v>1615383.0000000002</v>
      </c>
      <c r="I40" s="73">
        <f t="shared" si="16"/>
        <v>533610</v>
      </c>
      <c r="J40" s="73"/>
      <c r="K40" s="73">
        <f t="shared" si="16"/>
        <v>0</v>
      </c>
      <c r="L40" s="73">
        <f t="shared" si="16"/>
        <v>0</v>
      </c>
      <c r="M40" s="73"/>
      <c r="N40" s="73"/>
      <c r="O40" s="73">
        <f>O39*1.1</f>
        <v>0</v>
      </c>
      <c r="P40" s="73">
        <f t="shared" si="16"/>
        <v>0</v>
      </c>
      <c r="Q40" s="73">
        <f t="shared" si="16"/>
        <v>0</v>
      </c>
      <c r="R40" s="73">
        <f t="shared" si="16"/>
        <v>0</v>
      </c>
      <c r="S40" s="73">
        <f t="shared" si="16"/>
        <v>0</v>
      </c>
      <c r="T40" s="73">
        <f t="shared" si="16"/>
        <v>0</v>
      </c>
      <c r="U40" s="244">
        <f t="shared" si="2"/>
        <v>5775833.8000000007</v>
      </c>
    </row>
    <row r="41" spans="1:21" s="15" customFormat="1" ht="20.100000000000001" customHeight="1">
      <c r="A41" s="473"/>
      <c r="B41" s="442" t="s">
        <v>102</v>
      </c>
      <c r="C41" s="92" t="s">
        <v>5</v>
      </c>
      <c r="D41" s="73">
        <v>31500</v>
      </c>
      <c r="E41" s="73"/>
      <c r="F41" s="73"/>
      <c r="G41" s="73"/>
      <c r="H41" s="73">
        <v>47250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244">
        <f t="shared" si="2"/>
        <v>78750</v>
      </c>
    </row>
    <row r="42" spans="1:21" s="15" customFormat="1" ht="20.100000000000001" customHeight="1">
      <c r="A42" s="473"/>
      <c r="B42" s="442"/>
      <c r="C42" s="92" t="s">
        <v>6</v>
      </c>
      <c r="D42" s="73">
        <f>D41*1.1</f>
        <v>34650</v>
      </c>
      <c r="E42" s="73">
        <f t="shared" ref="E42:T42" si="17">E41*1.1</f>
        <v>0</v>
      </c>
      <c r="F42" s="73">
        <f t="shared" si="17"/>
        <v>0</v>
      </c>
      <c r="G42" s="73">
        <f t="shared" si="17"/>
        <v>0</v>
      </c>
      <c r="H42" s="73">
        <f t="shared" si="17"/>
        <v>51975.000000000007</v>
      </c>
      <c r="I42" s="73">
        <f t="shared" si="17"/>
        <v>0</v>
      </c>
      <c r="J42" s="73"/>
      <c r="K42" s="73">
        <f t="shared" si="17"/>
        <v>0</v>
      </c>
      <c r="L42" s="73">
        <f t="shared" si="17"/>
        <v>0</v>
      </c>
      <c r="M42" s="73"/>
      <c r="N42" s="73"/>
      <c r="O42" s="73"/>
      <c r="P42" s="73">
        <f t="shared" si="17"/>
        <v>0</v>
      </c>
      <c r="Q42" s="73">
        <f t="shared" si="17"/>
        <v>0</v>
      </c>
      <c r="R42" s="73">
        <f t="shared" si="17"/>
        <v>0</v>
      </c>
      <c r="S42" s="73">
        <f t="shared" si="17"/>
        <v>0</v>
      </c>
      <c r="T42" s="73">
        <f t="shared" si="17"/>
        <v>0</v>
      </c>
      <c r="U42" s="244">
        <f t="shared" si="2"/>
        <v>86625</v>
      </c>
    </row>
    <row r="43" spans="1:21" s="15" customFormat="1" ht="20.100000000000001" customHeight="1">
      <c r="A43" s="473"/>
      <c r="B43" s="442" t="s">
        <v>103</v>
      </c>
      <c r="C43" s="92" t="s">
        <v>5</v>
      </c>
      <c r="D43" s="73">
        <v>524200</v>
      </c>
      <c r="E43" s="73"/>
      <c r="F43" s="73"/>
      <c r="G43" s="73">
        <v>650</v>
      </c>
      <c r="H43" s="73">
        <v>780000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244">
        <f t="shared" si="2"/>
        <v>1304850</v>
      </c>
    </row>
    <row r="44" spans="1:21" s="15" customFormat="1" ht="20.100000000000001" customHeight="1">
      <c r="A44" s="473"/>
      <c r="B44" s="442"/>
      <c r="C44" s="92" t="s">
        <v>6</v>
      </c>
      <c r="D44" s="73">
        <f t="shared" ref="D44:T44" si="18">D43*1.1</f>
        <v>576620</v>
      </c>
      <c r="E44" s="73">
        <f t="shared" si="18"/>
        <v>0</v>
      </c>
      <c r="F44" s="73">
        <f t="shared" si="18"/>
        <v>0</v>
      </c>
      <c r="G44" s="73">
        <f t="shared" si="18"/>
        <v>715.00000000000011</v>
      </c>
      <c r="H44" s="73">
        <f t="shared" si="18"/>
        <v>858000.00000000012</v>
      </c>
      <c r="I44" s="73">
        <f t="shared" si="18"/>
        <v>0</v>
      </c>
      <c r="J44" s="73"/>
      <c r="K44" s="73">
        <f t="shared" si="18"/>
        <v>0</v>
      </c>
      <c r="L44" s="73">
        <f t="shared" si="18"/>
        <v>0</v>
      </c>
      <c r="M44" s="73"/>
      <c r="N44" s="73"/>
      <c r="O44" s="73">
        <f t="shared" si="18"/>
        <v>0</v>
      </c>
      <c r="P44" s="73">
        <f t="shared" si="18"/>
        <v>0</v>
      </c>
      <c r="Q44" s="73">
        <f t="shared" si="18"/>
        <v>0</v>
      </c>
      <c r="R44" s="73">
        <f t="shared" si="18"/>
        <v>0</v>
      </c>
      <c r="S44" s="73">
        <f t="shared" si="18"/>
        <v>0</v>
      </c>
      <c r="T44" s="73">
        <f t="shared" si="18"/>
        <v>0</v>
      </c>
      <c r="U44" s="244">
        <f t="shared" si="2"/>
        <v>1435335</v>
      </c>
    </row>
    <row r="45" spans="1:21" s="15" customFormat="1" ht="20.100000000000001" customHeight="1">
      <c r="A45" s="473"/>
      <c r="B45" s="442" t="s">
        <v>104</v>
      </c>
      <c r="C45" s="92" t="s">
        <v>5</v>
      </c>
      <c r="D45" s="252"/>
      <c r="E45" s="252"/>
      <c r="F45" s="252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244">
        <f t="shared" si="2"/>
        <v>0</v>
      </c>
    </row>
    <row r="46" spans="1:21" s="15" customFormat="1" ht="20.100000000000001" customHeight="1">
      <c r="A46" s="473"/>
      <c r="B46" s="442"/>
      <c r="C46" s="92" t="s">
        <v>6</v>
      </c>
      <c r="D46" s="73">
        <f>D45*1.1</f>
        <v>0</v>
      </c>
      <c r="E46" s="73">
        <f t="shared" ref="E46:T46" si="19">E45*1.1</f>
        <v>0</v>
      </c>
      <c r="F46" s="73"/>
      <c r="G46" s="73">
        <f t="shared" si="19"/>
        <v>0</v>
      </c>
      <c r="H46" s="73"/>
      <c r="I46" s="73">
        <f t="shared" si="19"/>
        <v>0</v>
      </c>
      <c r="J46" s="73"/>
      <c r="K46" s="73">
        <f t="shared" si="19"/>
        <v>0</v>
      </c>
      <c r="L46" s="73">
        <f t="shared" si="19"/>
        <v>0</v>
      </c>
      <c r="M46" s="73">
        <f t="shared" si="19"/>
        <v>0</v>
      </c>
      <c r="N46" s="73">
        <f t="shared" si="19"/>
        <v>0</v>
      </c>
      <c r="O46" s="73">
        <f t="shared" si="19"/>
        <v>0</v>
      </c>
      <c r="P46" s="73">
        <f t="shared" si="19"/>
        <v>0</v>
      </c>
      <c r="Q46" s="73">
        <f t="shared" si="19"/>
        <v>0</v>
      </c>
      <c r="R46" s="73">
        <f t="shared" si="19"/>
        <v>0</v>
      </c>
      <c r="S46" s="73">
        <f t="shared" si="19"/>
        <v>0</v>
      </c>
      <c r="T46" s="73">
        <f t="shared" si="19"/>
        <v>0</v>
      </c>
      <c r="U46" s="244">
        <f t="shared" si="2"/>
        <v>0</v>
      </c>
    </row>
    <row r="47" spans="1:21" s="15" customFormat="1" ht="20.100000000000001" customHeight="1">
      <c r="A47" s="473"/>
      <c r="B47" s="442" t="s">
        <v>105</v>
      </c>
      <c r="C47" s="92" t="s">
        <v>5</v>
      </c>
      <c r="D47" s="73"/>
      <c r="E47" s="73"/>
      <c r="F47" s="117"/>
      <c r="G47" s="117"/>
      <c r="H47" s="117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244">
        <f t="shared" si="2"/>
        <v>0</v>
      </c>
    </row>
    <row r="48" spans="1:21" s="15" customFormat="1" ht="20.100000000000001" customHeight="1">
      <c r="A48" s="473"/>
      <c r="B48" s="442"/>
      <c r="C48" s="92" t="s">
        <v>6</v>
      </c>
      <c r="D48" s="73"/>
      <c r="E48" s="73"/>
      <c r="F48" s="117"/>
      <c r="G48" s="117"/>
      <c r="H48" s="117"/>
      <c r="I48" s="73"/>
      <c r="J48" s="73"/>
      <c r="K48" s="73">
        <f t="shared" ref="K48:P48" si="20">K47*1.1</f>
        <v>0</v>
      </c>
      <c r="L48" s="73">
        <f t="shared" si="20"/>
        <v>0</v>
      </c>
      <c r="M48" s="73">
        <f t="shared" si="20"/>
        <v>0</v>
      </c>
      <c r="N48" s="73">
        <f t="shared" si="20"/>
        <v>0</v>
      </c>
      <c r="O48" s="73">
        <f t="shared" si="20"/>
        <v>0</v>
      </c>
      <c r="P48" s="73">
        <f t="shared" si="20"/>
        <v>0</v>
      </c>
      <c r="Q48" s="73"/>
      <c r="R48" s="73"/>
      <c r="S48" s="73"/>
      <c r="T48" s="73"/>
      <c r="U48" s="244">
        <f t="shared" si="2"/>
        <v>0</v>
      </c>
    </row>
    <row r="49" spans="1:21" s="15" customFormat="1" ht="20.100000000000001" customHeight="1">
      <c r="A49" s="473"/>
      <c r="B49" s="371" t="s">
        <v>229</v>
      </c>
      <c r="C49" s="92" t="s">
        <v>5</v>
      </c>
      <c r="D49" s="73"/>
      <c r="E49" s="73"/>
      <c r="F49" s="117"/>
      <c r="G49" s="117"/>
      <c r="H49" s="117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244">
        <f t="shared" si="2"/>
        <v>0</v>
      </c>
    </row>
    <row r="50" spans="1:21" s="15" customFormat="1" ht="20.100000000000001" customHeight="1">
      <c r="A50" s="473"/>
      <c r="B50" s="372"/>
      <c r="C50" s="187" t="s">
        <v>6</v>
      </c>
      <c r="D50" s="73"/>
      <c r="E50" s="73"/>
      <c r="F50" s="117"/>
      <c r="G50" s="117"/>
      <c r="H50" s="117"/>
      <c r="I50" s="73"/>
      <c r="J50" s="73"/>
      <c r="K50" s="73">
        <f t="shared" ref="K50:P50" si="21">K49*1.1</f>
        <v>0</v>
      </c>
      <c r="L50" s="73">
        <f t="shared" si="21"/>
        <v>0</v>
      </c>
      <c r="M50" s="73">
        <f t="shared" si="21"/>
        <v>0</v>
      </c>
      <c r="N50" s="73">
        <f t="shared" si="21"/>
        <v>0</v>
      </c>
      <c r="O50" s="73">
        <f t="shared" si="21"/>
        <v>0</v>
      </c>
      <c r="P50" s="73">
        <f t="shared" si="21"/>
        <v>0</v>
      </c>
      <c r="Q50" s="73"/>
      <c r="R50" s="73"/>
      <c r="S50" s="73"/>
      <c r="T50" s="73"/>
      <c r="U50" s="244">
        <f t="shared" si="2"/>
        <v>0</v>
      </c>
    </row>
    <row r="51" spans="1:21" s="15" customFormat="1" ht="20.100000000000001" customHeight="1">
      <c r="A51" s="473"/>
      <c r="B51" s="442" t="s">
        <v>106</v>
      </c>
      <c r="C51" s="92" t="s">
        <v>5</v>
      </c>
      <c r="D51" s="73"/>
      <c r="E51" s="73"/>
      <c r="F51" s="117"/>
      <c r="G51" s="117"/>
      <c r="H51" s="117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244">
        <f t="shared" si="2"/>
        <v>0</v>
      </c>
    </row>
    <row r="52" spans="1:21" s="15" customFormat="1" ht="20.100000000000001" customHeight="1">
      <c r="A52" s="473"/>
      <c r="B52" s="442"/>
      <c r="C52" s="92" t="s">
        <v>6</v>
      </c>
      <c r="D52" s="73"/>
      <c r="E52" s="73"/>
      <c r="F52" s="117">
        <f>F51*1.1</f>
        <v>0</v>
      </c>
      <c r="G52" s="117">
        <f t="shared" ref="G52:T52" si="22">G51*1.1</f>
        <v>0</v>
      </c>
      <c r="H52" s="117">
        <f t="shared" si="22"/>
        <v>0</v>
      </c>
      <c r="I52" s="117">
        <f t="shared" si="22"/>
        <v>0</v>
      </c>
      <c r="J52" s="117">
        <f t="shared" si="22"/>
        <v>0</v>
      </c>
      <c r="K52" s="117">
        <f t="shared" si="22"/>
        <v>0</v>
      </c>
      <c r="L52" s="117">
        <f t="shared" si="22"/>
        <v>0</v>
      </c>
      <c r="M52" s="117">
        <f t="shared" si="22"/>
        <v>0</v>
      </c>
      <c r="N52" s="117">
        <f t="shared" si="22"/>
        <v>0</v>
      </c>
      <c r="O52" s="117">
        <f t="shared" si="22"/>
        <v>0</v>
      </c>
      <c r="P52" s="117">
        <f t="shared" si="22"/>
        <v>0</v>
      </c>
      <c r="Q52" s="117">
        <f t="shared" si="22"/>
        <v>0</v>
      </c>
      <c r="R52" s="117">
        <f t="shared" si="22"/>
        <v>0</v>
      </c>
      <c r="S52" s="117">
        <f t="shared" si="22"/>
        <v>0</v>
      </c>
      <c r="T52" s="117">
        <f t="shared" si="22"/>
        <v>0</v>
      </c>
      <c r="U52" s="244">
        <f t="shared" si="2"/>
        <v>0</v>
      </c>
    </row>
    <row r="53" spans="1:21" s="15" customFormat="1" ht="20.100000000000001" customHeight="1">
      <c r="A53" s="473"/>
      <c r="B53" s="442" t="s">
        <v>107</v>
      </c>
      <c r="C53" s="92" t="s">
        <v>5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244">
        <f t="shared" si="2"/>
        <v>0</v>
      </c>
    </row>
    <row r="54" spans="1:21" s="15" customFormat="1" ht="20.100000000000001" customHeight="1">
      <c r="A54" s="473"/>
      <c r="B54" s="442"/>
      <c r="C54" s="92" t="s">
        <v>6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244">
        <f t="shared" si="2"/>
        <v>0</v>
      </c>
    </row>
    <row r="55" spans="1:21" s="15" customFormat="1" ht="20.100000000000001" customHeight="1">
      <c r="A55" s="473"/>
      <c r="B55" s="442" t="s">
        <v>108</v>
      </c>
      <c r="C55" s="92" t="s">
        <v>5</v>
      </c>
      <c r="D55" s="73">
        <v>80640</v>
      </c>
      <c r="E55" s="73">
        <f t="shared" ref="E55:T55" si="23">E53*1.1</f>
        <v>0</v>
      </c>
      <c r="F55" s="73">
        <f t="shared" si="23"/>
        <v>0</v>
      </c>
      <c r="G55" s="73">
        <f t="shared" si="23"/>
        <v>0</v>
      </c>
      <c r="H55" s="73"/>
      <c r="I55" s="73">
        <f t="shared" si="23"/>
        <v>0</v>
      </c>
      <c r="J55" s="73"/>
      <c r="K55" s="73">
        <f t="shared" si="23"/>
        <v>0</v>
      </c>
      <c r="L55" s="73">
        <f t="shared" si="23"/>
        <v>0</v>
      </c>
      <c r="M55" s="73"/>
      <c r="N55" s="73"/>
      <c r="O55" s="73">
        <f t="shared" si="23"/>
        <v>0</v>
      </c>
      <c r="P55" s="73">
        <f t="shared" si="23"/>
        <v>0</v>
      </c>
      <c r="Q55" s="73">
        <f t="shared" si="23"/>
        <v>0</v>
      </c>
      <c r="R55" s="73">
        <f t="shared" si="23"/>
        <v>0</v>
      </c>
      <c r="S55" s="73">
        <f t="shared" si="23"/>
        <v>0</v>
      </c>
      <c r="T55" s="73">
        <f t="shared" si="23"/>
        <v>0</v>
      </c>
      <c r="U55" s="244">
        <f t="shared" si="2"/>
        <v>80640</v>
      </c>
    </row>
    <row r="56" spans="1:21" s="15" customFormat="1" ht="20.100000000000001" customHeight="1">
      <c r="A56" s="473"/>
      <c r="B56" s="442"/>
      <c r="C56" s="92" t="s">
        <v>6</v>
      </c>
      <c r="D56" s="73">
        <f>D55*1.1</f>
        <v>88704</v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244">
        <f t="shared" si="2"/>
        <v>88704</v>
      </c>
    </row>
    <row r="57" spans="1:21" s="15" customFormat="1" ht="20.100000000000001" customHeight="1">
      <c r="A57" s="473"/>
      <c r="B57" s="442" t="s">
        <v>109</v>
      </c>
      <c r="C57" s="92" t="s">
        <v>5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244">
        <f t="shared" si="2"/>
        <v>0</v>
      </c>
    </row>
    <row r="58" spans="1:21" s="15" customFormat="1" ht="20.100000000000001" customHeight="1">
      <c r="A58" s="473"/>
      <c r="B58" s="442"/>
      <c r="C58" s="92" t="s">
        <v>6</v>
      </c>
      <c r="D58" s="73">
        <f>D57*1.1</f>
        <v>0</v>
      </c>
      <c r="E58" s="73">
        <f>E57*1.1</f>
        <v>0</v>
      </c>
      <c r="F58" s="73">
        <f>F57*1.1</f>
        <v>0</v>
      </c>
      <c r="G58" s="73"/>
      <c r="H58" s="73"/>
      <c r="I58" s="73">
        <f>I57*1.1</f>
        <v>0</v>
      </c>
      <c r="J58" s="73">
        <f>J57*1.1</f>
        <v>0</v>
      </c>
      <c r="K58" s="73"/>
      <c r="L58" s="73">
        <f>L57*1.1</f>
        <v>0</v>
      </c>
      <c r="M58" s="73"/>
      <c r="N58" s="73"/>
      <c r="O58" s="73">
        <f t="shared" ref="O58:T58" si="24">O57*1.1</f>
        <v>0</v>
      </c>
      <c r="P58" s="73">
        <f t="shared" si="24"/>
        <v>0</v>
      </c>
      <c r="Q58" s="73">
        <f t="shared" si="24"/>
        <v>0</v>
      </c>
      <c r="R58" s="73">
        <f t="shared" si="24"/>
        <v>0</v>
      </c>
      <c r="S58" s="73">
        <f t="shared" si="24"/>
        <v>0</v>
      </c>
      <c r="T58" s="73">
        <f t="shared" si="24"/>
        <v>0</v>
      </c>
      <c r="U58" s="244">
        <f t="shared" si="2"/>
        <v>0</v>
      </c>
    </row>
    <row r="59" spans="1:21" s="15" customFormat="1" ht="20.100000000000001" customHeight="1">
      <c r="A59" s="473"/>
      <c r="B59" s="442" t="s">
        <v>110</v>
      </c>
      <c r="C59" s="92" t="s">
        <v>5</v>
      </c>
      <c r="D59" s="73"/>
      <c r="E59" s="73"/>
      <c r="F59" s="73"/>
      <c r="G59" s="73">
        <v>342300</v>
      </c>
      <c r="H59" s="73">
        <v>105000</v>
      </c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244">
        <f t="shared" si="2"/>
        <v>447300</v>
      </c>
    </row>
    <row r="60" spans="1:21" s="15" customFormat="1" ht="20.100000000000001" customHeight="1">
      <c r="A60" s="473"/>
      <c r="B60" s="442"/>
      <c r="C60" s="92" t="s">
        <v>6</v>
      </c>
      <c r="D60" s="73">
        <f t="shared" ref="D60:I60" si="25">D59*1.1</f>
        <v>0</v>
      </c>
      <c r="E60" s="73">
        <f t="shared" si="25"/>
        <v>0</v>
      </c>
      <c r="F60" s="73">
        <f t="shared" si="25"/>
        <v>0</v>
      </c>
      <c r="G60" s="73">
        <f t="shared" si="25"/>
        <v>376530.00000000006</v>
      </c>
      <c r="H60" s="73">
        <f t="shared" si="25"/>
        <v>115500.00000000001</v>
      </c>
      <c r="I60" s="73">
        <f t="shared" si="25"/>
        <v>0</v>
      </c>
      <c r="J60" s="73"/>
      <c r="K60" s="73"/>
      <c r="L60" s="73"/>
      <c r="M60" s="73"/>
      <c r="N60" s="73"/>
      <c r="O60" s="73">
        <f t="shared" ref="O60:T60" si="26">O59*1.1</f>
        <v>0</v>
      </c>
      <c r="P60" s="73">
        <f t="shared" si="26"/>
        <v>0</v>
      </c>
      <c r="Q60" s="73">
        <f t="shared" si="26"/>
        <v>0</v>
      </c>
      <c r="R60" s="73">
        <f t="shared" si="26"/>
        <v>0</v>
      </c>
      <c r="S60" s="73">
        <f t="shared" si="26"/>
        <v>0</v>
      </c>
      <c r="T60" s="73">
        <f t="shared" si="26"/>
        <v>0</v>
      </c>
      <c r="U60" s="244">
        <f t="shared" si="2"/>
        <v>492030.00000000006</v>
      </c>
    </row>
    <row r="61" spans="1:21" s="15" customFormat="1" ht="20.100000000000001" customHeight="1">
      <c r="A61" s="473"/>
      <c r="B61" s="464" t="s">
        <v>283</v>
      </c>
      <c r="C61" s="92" t="s">
        <v>5</v>
      </c>
      <c r="D61" s="73"/>
      <c r="E61" s="73"/>
      <c r="F61" s="73"/>
      <c r="G61" s="73">
        <v>57120</v>
      </c>
      <c r="H61" s="73"/>
      <c r="I61" s="73"/>
      <c r="J61" s="73"/>
      <c r="K61" s="73"/>
      <c r="L61" s="73"/>
      <c r="M61" s="73"/>
      <c r="N61" s="73"/>
      <c r="O61" s="73"/>
      <c r="P61" s="252"/>
      <c r="Q61" s="252"/>
      <c r="R61" s="73"/>
      <c r="S61" s="73"/>
      <c r="T61" s="73"/>
      <c r="U61" s="244">
        <f t="shared" si="2"/>
        <v>57120</v>
      </c>
    </row>
    <row r="62" spans="1:21" s="15" customFormat="1" ht="20.100000000000001" customHeight="1">
      <c r="A62" s="473"/>
      <c r="B62" s="442"/>
      <c r="C62" s="92" t="s">
        <v>6</v>
      </c>
      <c r="D62" s="73"/>
      <c r="E62" s="73"/>
      <c r="F62" s="73">
        <f>F61*1.1</f>
        <v>0</v>
      </c>
      <c r="G62" s="73">
        <f>G61*1.1</f>
        <v>62832.000000000007</v>
      </c>
      <c r="H62" s="73"/>
      <c r="I62" s="73"/>
      <c r="J62" s="73"/>
      <c r="K62" s="73"/>
      <c r="L62" s="73"/>
      <c r="M62" s="73"/>
      <c r="N62" s="73"/>
      <c r="O62" s="73"/>
      <c r="P62" s="252"/>
      <c r="Q62" s="252"/>
      <c r="R62" s="73"/>
      <c r="S62" s="73"/>
      <c r="T62" s="73"/>
      <c r="U62" s="244">
        <f t="shared" si="2"/>
        <v>62832.000000000007</v>
      </c>
    </row>
    <row r="63" spans="1:21" s="15" customFormat="1" ht="20.100000000000001" customHeight="1">
      <c r="A63" s="473"/>
      <c r="B63" s="442" t="s">
        <v>112</v>
      </c>
      <c r="C63" s="92" t="s">
        <v>5</v>
      </c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252"/>
      <c r="Q63" s="252"/>
      <c r="R63" s="73"/>
      <c r="S63" s="73"/>
      <c r="T63" s="73"/>
      <c r="U63" s="244">
        <f t="shared" si="2"/>
        <v>0</v>
      </c>
    </row>
    <row r="64" spans="1:21" s="15" customFormat="1" ht="20.100000000000001" customHeight="1">
      <c r="A64" s="473"/>
      <c r="B64" s="442"/>
      <c r="C64" s="92" t="s">
        <v>6</v>
      </c>
      <c r="D64" s="73">
        <f>D63*1.1</f>
        <v>0</v>
      </c>
      <c r="E64" s="73">
        <f>E63*1.1</f>
        <v>0</v>
      </c>
      <c r="F64" s="73">
        <f>F63*1.1</f>
        <v>0</v>
      </c>
      <c r="G64" s="73">
        <f>G63*1.1</f>
        <v>0</v>
      </c>
      <c r="H64" s="73"/>
      <c r="I64" s="73"/>
      <c r="J64" s="73"/>
      <c r="K64" s="73"/>
      <c r="L64" s="73">
        <f>L63*1.1</f>
        <v>0</v>
      </c>
      <c r="M64" s="73"/>
      <c r="N64" s="73"/>
      <c r="O64" s="73">
        <f t="shared" ref="O64:T64" si="27">O63*1.1</f>
        <v>0</v>
      </c>
      <c r="P64" s="73">
        <f t="shared" si="27"/>
        <v>0</v>
      </c>
      <c r="Q64" s="73">
        <f t="shared" si="27"/>
        <v>0</v>
      </c>
      <c r="R64" s="73">
        <f t="shared" si="27"/>
        <v>0</v>
      </c>
      <c r="S64" s="73">
        <f t="shared" si="27"/>
        <v>0</v>
      </c>
      <c r="T64" s="73">
        <f t="shared" si="27"/>
        <v>0</v>
      </c>
      <c r="U64" s="244">
        <f t="shared" si="2"/>
        <v>0</v>
      </c>
    </row>
    <row r="65" spans="1:23" s="15" customFormat="1" ht="20.100000000000001" customHeight="1">
      <c r="A65" s="473"/>
      <c r="B65" s="442" t="s">
        <v>113</v>
      </c>
      <c r="C65" s="92" t="s">
        <v>5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252"/>
      <c r="Q65" s="252"/>
      <c r="R65" s="73"/>
      <c r="S65" s="73"/>
      <c r="T65" s="73"/>
      <c r="U65" s="244">
        <f t="shared" si="2"/>
        <v>0</v>
      </c>
    </row>
    <row r="66" spans="1:23" s="15" customFormat="1" ht="20.100000000000001" customHeight="1">
      <c r="A66" s="473"/>
      <c r="B66" s="442"/>
      <c r="C66" s="92" t="s">
        <v>6</v>
      </c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252"/>
      <c r="Q66" s="252"/>
      <c r="R66" s="73"/>
      <c r="S66" s="73"/>
      <c r="T66" s="73"/>
      <c r="U66" s="244">
        <f t="shared" si="2"/>
        <v>0</v>
      </c>
    </row>
    <row r="67" spans="1:23" s="15" customFormat="1" ht="20.100000000000001" customHeight="1">
      <c r="A67" s="473"/>
      <c r="B67" s="442" t="s">
        <v>26</v>
      </c>
      <c r="C67" s="92" t="s">
        <v>5</v>
      </c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252"/>
      <c r="Q67" s="252"/>
      <c r="R67" s="73"/>
      <c r="S67" s="73"/>
      <c r="T67" s="73"/>
      <c r="U67" s="244">
        <f t="shared" si="2"/>
        <v>0</v>
      </c>
    </row>
    <row r="68" spans="1:23" s="15" customFormat="1" ht="20.100000000000001" customHeight="1">
      <c r="A68" s="473"/>
      <c r="B68" s="442"/>
      <c r="C68" s="92" t="s">
        <v>6</v>
      </c>
      <c r="D68" s="73">
        <f t="shared" ref="D68:L68" si="28">D67*1.1</f>
        <v>0</v>
      </c>
      <c r="E68" s="73">
        <f t="shared" si="28"/>
        <v>0</v>
      </c>
      <c r="F68" s="73">
        <f t="shared" si="28"/>
        <v>0</v>
      </c>
      <c r="G68" s="73">
        <f t="shared" si="28"/>
        <v>0</v>
      </c>
      <c r="H68" s="73"/>
      <c r="I68" s="73">
        <f t="shared" si="28"/>
        <v>0</v>
      </c>
      <c r="J68" s="73">
        <f t="shared" si="28"/>
        <v>0</v>
      </c>
      <c r="K68" s="73">
        <f t="shared" si="28"/>
        <v>0</v>
      </c>
      <c r="L68" s="73">
        <f t="shared" si="28"/>
        <v>0</v>
      </c>
      <c r="M68" s="73"/>
      <c r="N68" s="73"/>
      <c r="O68" s="73"/>
      <c r="P68" s="252">
        <f>P67*1.1</f>
        <v>0</v>
      </c>
      <c r="Q68" s="252"/>
      <c r="R68" s="73"/>
      <c r="S68" s="73"/>
      <c r="T68" s="73"/>
      <c r="U68" s="244">
        <f t="shared" ref="U68:U99" si="29">SUM(D68:T68)</f>
        <v>0</v>
      </c>
    </row>
    <row r="69" spans="1:23" s="15" customFormat="1" ht="20.100000000000001" customHeight="1">
      <c r="A69" s="473"/>
      <c r="B69" s="442" t="s">
        <v>114</v>
      </c>
      <c r="C69" s="92" t="s">
        <v>5</v>
      </c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252"/>
      <c r="Q69" s="252"/>
      <c r="R69" s="73"/>
      <c r="S69" s="73"/>
      <c r="T69" s="73"/>
      <c r="U69" s="244">
        <f t="shared" si="29"/>
        <v>0</v>
      </c>
    </row>
    <row r="70" spans="1:23" s="15" customFormat="1" ht="20.100000000000001" customHeight="1">
      <c r="A70" s="473"/>
      <c r="B70" s="442"/>
      <c r="C70" s="92" t="s">
        <v>6</v>
      </c>
      <c r="D70" s="73">
        <f>D69*1.1</f>
        <v>0</v>
      </c>
      <c r="E70" s="73">
        <f>E69*1.1</f>
        <v>0</v>
      </c>
      <c r="F70" s="73">
        <f>F69*1.1</f>
        <v>0</v>
      </c>
      <c r="G70" s="73">
        <f>G69*1.1</f>
        <v>0</v>
      </c>
      <c r="H70" s="73">
        <f>H69*1.08</f>
        <v>0</v>
      </c>
      <c r="I70" s="73">
        <f>I69*1.08</f>
        <v>0</v>
      </c>
      <c r="J70" s="73"/>
      <c r="K70" s="73"/>
      <c r="L70" s="73"/>
      <c r="M70" s="73"/>
      <c r="N70" s="73"/>
      <c r="O70" s="73">
        <f>O69*1.1</f>
        <v>0</v>
      </c>
      <c r="P70" s="73">
        <f>P69*1.1</f>
        <v>0</v>
      </c>
      <c r="Q70" s="252"/>
      <c r="R70" s="73"/>
      <c r="S70" s="73"/>
      <c r="T70" s="73"/>
      <c r="U70" s="244">
        <f t="shared" si="29"/>
        <v>0</v>
      </c>
    </row>
    <row r="71" spans="1:23" s="15" customFormat="1" ht="20.100000000000001" customHeight="1">
      <c r="A71" s="473"/>
      <c r="B71" s="442" t="s">
        <v>133</v>
      </c>
      <c r="C71" s="92" t="s">
        <v>5</v>
      </c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252"/>
      <c r="Q71" s="252"/>
      <c r="R71" s="73"/>
      <c r="S71" s="73"/>
      <c r="T71" s="73"/>
      <c r="U71" s="244">
        <f t="shared" si="29"/>
        <v>0</v>
      </c>
    </row>
    <row r="72" spans="1:23" s="15" customFormat="1" ht="20.100000000000001" customHeight="1">
      <c r="A72" s="473"/>
      <c r="B72" s="442"/>
      <c r="C72" s="92" t="s">
        <v>6</v>
      </c>
      <c r="D72" s="73"/>
      <c r="E72" s="73"/>
      <c r="F72" s="73"/>
      <c r="G72" s="73"/>
      <c r="H72" s="73"/>
      <c r="I72" s="73">
        <f>I71*1.1-1</f>
        <v>-1</v>
      </c>
      <c r="J72" s="73"/>
      <c r="K72" s="73"/>
      <c r="L72" s="73"/>
      <c r="M72" s="73"/>
      <c r="N72" s="73"/>
      <c r="O72" s="73">
        <f>O71*1.1</f>
        <v>0</v>
      </c>
      <c r="P72" s="252">
        <f>P71*1.1</f>
        <v>0</v>
      </c>
      <c r="Q72" s="252"/>
      <c r="R72" s="73"/>
      <c r="S72" s="73"/>
      <c r="T72" s="73"/>
      <c r="U72" s="244">
        <f t="shared" si="29"/>
        <v>-1</v>
      </c>
    </row>
    <row r="73" spans="1:23" s="15" customFormat="1" ht="20.100000000000001" customHeight="1">
      <c r="A73" s="473"/>
      <c r="B73" s="442" t="s">
        <v>131</v>
      </c>
      <c r="C73" s="92" t="s">
        <v>5</v>
      </c>
      <c r="D73" s="73">
        <v>1209680</v>
      </c>
      <c r="E73" s="73"/>
      <c r="F73" s="73"/>
      <c r="G73" s="73">
        <v>30880</v>
      </c>
      <c r="H73" s="73"/>
      <c r="I73" s="73"/>
      <c r="J73" s="73"/>
      <c r="K73" s="73"/>
      <c r="L73" s="73"/>
      <c r="M73" s="73"/>
      <c r="N73" s="73"/>
      <c r="O73" s="73"/>
      <c r="P73" s="252"/>
      <c r="Q73" s="252"/>
      <c r="R73" s="73"/>
      <c r="S73" s="73"/>
      <c r="T73" s="73"/>
      <c r="U73" s="244">
        <f t="shared" si="29"/>
        <v>1240560</v>
      </c>
    </row>
    <row r="74" spans="1:23" s="15" customFormat="1" ht="20.100000000000001" customHeight="1">
      <c r="A74" s="473"/>
      <c r="B74" s="442"/>
      <c r="C74" s="92" t="s">
        <v>6</v>
      </c>
      <c r="D74" s="73">
        <f>D73*1.1</f>
        <v>1330648</v>
      </c>
      <c r="E74" s="73">
        <f>E73*1.1</f>
        <v>0</v>
      </c>
      <c r="F74" s="73">
        <f>F73*1.1</f>
        <v>0</v>
      </c>
      <c r="G74" s="73">
        <f>G73*1.1</f>
        <v>33968</v>
      </c>
      <c r="H74" s="73"/>
      <c r="I74" s="73">
        <f>I73*1.1</f>
        <v>0</v>
      </c>
      <c r="J74" s="73"/>
      <c r="K74" s="73"/>
      <c r="L74" s="73"/>
      <c r="M74" s="73"/>
      <c r="N74" s="73"/>
      <c r="O74" s="73"/>
      <c r="P74" s="252"/>
      <c r="Q74" s="252"/>
      <c r="R74" s="73"/>
      <c r="S74" s="73"/>
      <c r="T74" s="73"/>
      <c r="U74" s="244">
        <f t="shared" si="29"/>
        <v>1364616</v>
      </c>
    </row>
    <row r="75" spans="1:23" s="15" customFormat="1" ht="20.100000000000001" customHeight="1">
      <c r="A75" s="473"/>
      <c r="B75" s="442" t="s">
        <v>115</v>
      </c>
      <c r="C75" s="92" t="s">
        <v>5</v>
      </c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252"/>
      <c r="Q75" s="252"/>
      <c r="R75" s="73"/>
      <c r="S75" s="73"/>
      <c r="T75" s="73"/>
      <c r="U75" s="244">
        <f t="shared" si="29"/>
        <v>0</v>
      </c>
      <c r="W75" s="310"/>
    </row>
    <row r="76" spans="1:23" s="15" customFormat="1" ht="20.100000000000001" customHeight="1">
      <c r="A76" s="473"/>
      <c r="B76" s="442"/>
      <c r="C76" s="92" t="s">
        <v>6</v>
      </c>
      <c r="D76" s="73"/>
      <c r="E76" s="73"/>
      <c r="F76" s="73"/>
      <c r="G76" s="73"/>
      <c r="H76" s="73"/>
      <c r="I76" s="73">
        <f>987600*1.08+951720*1.1</f>
        <v>2113500</v>
      </c>
      <c r="J76" s="73"/>
      <c r="K76" s="73"/>
      <c r="L76" s="73">
        <f>(16400*1.08)+(4120*1.1)+(700*1.1)</f>
        <v>23014</v>
      </c>
      <c r="M76" s="73"/>
      <c r="N76" s="73"/>
      <c r="O76" s="73">
        <f>O75*1.1</f>
        <v>0</v>
      </c>
      <c r="P76" s="252">
        <f>P75*1.1</f>
        <v>0</v>
      </c>
      <c r="Q76" s="252">
        <f>(31600*1.08)+(800*1.1)</f>
        <v>35008</v>
      </c>
      <c r="R76" s="73"/>
      <c r="S76" s="73"/>
      <c r="T76" s="73"/>
      <c r="U76" s="244">
        <f t="shared" si="29"/>
        <v>2171522</v>
      </c>
    </row>
    <row r="77" spans="1:23" s="15" customFormat="1" ht="20.100000000000001" customHeight="1">
      <c r="A77" s="473"/>
      <c r="B77" s="442" t="s">
        <v>27</v>
      </c>
      <c r="C77" s="92" t="s">
        <v>5</v>
      </c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252"/>
      <c r="Q77" s="252"/>
      <c r="R77" s="73"/>
      <c r="S77" s="73"/>
      <c r="T77" s="73"/>
      <c r="U77" s="244">
        <f t="shared" si="29"/>
        <v>0</v>
      </c>
    </row>
    <row r="78" spans="1:23" s="15" customFormat="1" ht="20.100000000000001" customHeight="1">
      <c r="A78" s="473"/>
      <c r="B78" s="442"/>
      <c r="C78" s="92" t="s">
        <v>6</v>
      </c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252"/>
      <c r="Q78" s="252"/>
      <c r="R78" s="73"/>
      <c r="S78" s="73"/>
      <c r="T78" s="73"/>
      <c r="U78" s="244">
        <f t="shared" si="29"/>
        <v>0</v>
      </c>
    </row>
    <row r="79" spans="1:23" s="15" customFormat="1" ht="20.100000000000001" customHeight="1">
      <c r="A79" s="473"/>
      <c r="B79" s="442" t="s">
        <v>37</v>
      </c>
      <c r="C79" s="92" t="s">
        <v>5</v>
      </c>
      <c r="D79" s="73"/>
      <c r="E79" s="73">
        <f>392000-F79</f>
        <v>296000</v>
      </c>
      <c r="F79" s="73">
        <v>96000</v>
      </c>
      <c r="G79" s="73"/>
      <c r="H79" s="73"/>
      <c r="I79" s="73"/>
      <c r="J79" s="73"/>
      <c r="K79" s="73"/>
      <c r="L79" s="73"/>
      <c r="M79" s="239"/>
      <c r="N79" s="117"/>
      <c r="O79" s="73"/>
      <c r="P79" s="252"/>
      <c r="Q79" s="252"/>
      <c r="R79" s="73"/>
      <c r="S79" s="73"/>
      <c r="T79" s="73"/>
      <c r="U79" s="244">
        <f t="shared" si="29"/>
        <v>392000</v>
      </c>
    </row>
    <row r="80" spans="1:23" s="15" customFormat="1" ht="20.100000000000001" customHeight="1">
      <c r="A80" s="473"/>
      <c r="B80" s="442"/>
      <c r="C80" s="187" t="s">
        <v>6</v>
      </c>
      <c r="D80" s="117">
        <f>D79*1.1</f>
        <v>0</v>
      </c>
      <c r="E80" s="117">
        <f>E79*1.1</f>
        <v>325600</v>
      </c>
      <c r="F80" s="117">
        <f>F79*1.08</f>
        <v>103680</v>
      </c>
      <c r="G80" s="117">
        <f>G79*1.1</f>
        <v>0</v>
      </c>
      <c r="H80" s="117"/>
      <c r="I80" s="117">
        <f>(192000*1.08)+(96000*1.1)</f>
        <v>312960</v>
      </c>
      <c r="J80" s="117">
        <f>(16000*1.08)+(32000*1.1)</f>
        <v>52480</v>
      </c>
      <c r="K80" s="117">
        <f>K79*1.1</f>
        <v>0</v>
      </c>
      <c r="L80" s="117">
        <f>(22400*1.08)+(16000*1.1)</f>
        <v>41792</v>
      </c>
      <c r="M80" s="239"/>
      <c r="N80" s="117">
        <f>(6400*1.08)+(9600*1.1)</f>
        <v>17472</v>
      </c>
      <c r="O80" s="117">
        <f>O79*1.1</f>
        <v>0</v>
      </c>
      <c r="P80" s="117">
        <f>P79*1.1</f>
        <v>0</v>
      </c>
      <c r="Q80" s="252">
        <f>(3200*41*1.1)+(3200*14*1.08)</f>
        <v>192704</v>
      </c>
      <c r="R80" s="73"/>
      <c r="S80" s="73"/>
      <c r="T80" s="73"/>
      <c r="U80" s="244">
        <f t="shared" si="29"/>
        <v>1046688</v>
      </c>
    </row>
    <row r="81" spans="1:23" s="15" customFormat="1" ht="20.100000000000001" customHeight="1">
      <c r="A81" s="473"/>
      <c r="B81" s="464" t="s">
        <v>230</v>
      </c>
      <c r="C81" s="92" t="s">
        <v>5</v>
      </c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253"/>
      <c r="Q81" s="252"/>
      <c r="R81" s="73"/>
      <c r="S81" s="73"/>
      <c r="T81" s="73"/>
      <c r="U81" s="244">
        <f t="shared" si="29"/>
        <v>0</v>
      </c>
    </row>
    <row r="82" spans="1:23" s="15" customFormat="1" ht="20.100000000000001" customHeight="1">
      <c r="A82" s="473"/>
      <c r="B82" s="442"/>
      <c r="C82" s="92" t="s">
        <v>6</v>
      </c>
      <c r="D82" s="117"/>
      <c r="E82" s="117"/>
      <c r="F82" s="117"/>
      <c r="G82" s="117"/>
      <c r="H82" s="117"/>
      <c r="I82" s="117">
        <f>I81*1.1</f>
        <v>0</v>
      </c>
      <c r="J82" s="117"/>
      <c r="K82" s="117"/>
      <c r="L82" s="117"/>
      <c r="M82" s="117"/>
      <c r="N82" s="117"/>
      <c r="O82" s="117"/>
      <c r="P82" s="253"/>
      <c r="Q82" s="252"/>
      <c r="R82" s="73"/>
      <c r="S82" s="73"/>
      <c r="T82" s="73"/>
      <c r="U82" s="244">
        <f t="shared" si="29"/>
        <v>0</v>
      </c>
    </row>
    <row r="83" spans="1:23" s="15" customFormat="1" ht="20.100000000000001" customHeight="1">
      <c r="A83" s="473"/>
      <c r="B83" s="464" t="s">
        <v>231</v>
      </c>
      <c r="C83" s="92" t="s">
        <v>5</v>
      </c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253"/>
      <c r="Q83" s="252"/>
      <c r="R83" s="73"/>
      <c r="S83" s="73"/>
      <c r="T83" s="73"/>
      <c r="U83" s="244">
        <f t="shared" si="29"/>
        <v>0</v>
      </c>
    </row>
    <row r="84" spans="1:23" s="15" customFormat="1" ht="20.100000000000001" customHeight="1">
      <c r="A84" s="473"/>
      <c r="B84" s="442"/>
      <c r="C84" s="92" t="s">
        <v>6</v>
      </c>
      <c r="D84" s="117"/>
      <c r="E84" s="117"/>
      <c r="F84" s="117"/>
      <c r="G84" s="117">
        <v>0</v>
      </c>
      <c r="H84" s="117"/>
      <c r="I84" s="117">
        <f>I83*1.1</f>
        <v>0</v>
      </c>
      <c r="J84" s="117"/>
      <c r="K84" s="117"/>
      <c r="L84" s="117"/>
      <c r="M84" s="117"/>
      <c r="N84" s="117"/>
      <c r="O84" s="117"/>
      <c r="P84" s="253"/>
      <c r="Q84" s="252"/>
      <c r="R84" s="73"/>
      <c r="S84" s="73"/>
      <c r="T84" s="73"/>
      <c r="U84" s="244">
        <f t="shared" si="29"/>
        <v>0</v>
      </c>
    </row>
    <row r="85" spans="1:23" s="15" customFormat="1" ht="20.100000000000001" customHeight="1">
      <c r="A85" s="473"/>
      <c r="B85" s="464" t="s">
        <v>232</v>
      </c>
      <c r="C85" s="92" t="s">
        <v>5</v>
      </c>
      <c r="D85" s="117"/>
      <c r="E85" s="117"/>
      <c r="F85" s="117"/>
      <c r="G85" s="117">
        <v>0</v>
      </c>
      <c r="H85" s="117"/>
      <c r="I85" s="117"/>
      <c r="J85" s="117"/>
      <c r="K85" s="117"/>
      <c r="L85" s="117"/>
      <c r="M85" s="117"/>
      <c r="N85" s="117"/>
      <c r="O85" s="117"/>
      <c r="P85" s="253"/>
      <c r="Q85" s="253"/>
      <c r="R85" s="73"/>
      <c r="S85" s="73"/>
      <c r="T85" s="73"/>
      <c r="U85" s="244">
        <f t="shared" si="29"/>
        <v>0</v>
      </c>
    </row>
    <row r="86" spans="1:23" s="15" customFormat="1" ht="20.100000000000001" customHeight="1">
      <c r="A86" s="473"/>
      <c r="B86" s="442"/>
      <c r="C86" s="92" t="s">
        <v>6</v>
      </c>
      <c r="D86" s="117"/>
      <c r="E86" s="117"/>
      <c r="F86" s="117"/>
      <c r="G86" s="117"/>
      <c r="H86" s="117"/>
      <c r="I86" s="117">
        <f>I85*1.1</f>
        <v>0</v>
      </c>
      <c r="J86" s="117"/>
      <c r="K86" s="117"/>
      <c r="L86" s="117"/>
      <c r="M86" s="117"/>
      <c r="N86" s="117"/>
      <c r="O86" s="117">
        <f>O85*1.1</f>
        <v>0</v>
      </c>
      <c r="P86" s="253"/>
      <c r="Q86" s="252">
        <f>Q85*1.1</f>
        <v>0</v>
      </c>
      <c r="R86" s="73"/>
      <c r="S86" s="73"/>
      <c r="T86" s="73"/>
      <c r="U86" s="244">
        <f t="shared" si="29"/>
        <v>0</v>
      </c>
    </row>
    <row r="87" spans="1:23" s="15" customFormat="1" ht="20.100000000000001" customHeight="1">
      <c r="A87" s="473"/>
      <c r="B87" s="465" t="s">
        <v>143</v>
      </c>
      <c r="C87" s="92" t="s">
        <v>5</v>
      </c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253"/>
      <c r="Q87" s="252"/>
      <c r="R87" s="73"/>
      <c r="S87" s="73"/>
      <c r="T87" s="73"/>
      <c r="U87" s="244">
        <f t="shared" si="29"/>
        <v>0</v>
      </c>
    </row>
    <row r="88" spans="1:23" s="15" customFormat="1" ht="20.100000000000001" customHeight="1">
      <c r="A88" s="473"/>
      <c r="B88" s="372"/>
      <c r="C88" s="92" t="s">
        <v>6</v>
      </c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253"/>
      <c r="Q88" s="252"/>
      <c r="R88" s="73"/>
      <c r="S88" s="73"/>
      <c r="T88" s="73"/>
      <c r="U88" s="244">
        <f t="shared" si="29"/>
        <v>0</v>
      </c>
    </row>
    <row r="89" spans="1:23" s="15" customFormat="1" ht="20.100000000000001" customHeight="1">
      <c r="A89" s="473"/>
      <c r="B89" s="371" t="s">
        <v>248</v>
      </c>
      <c r="C89" s="92" t="s">
        <v>5</v>
      </c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253"/>
      <c r="Q89" s="252"/>
      <c r="R89" s="73"/>
      <c r="S89" s="73"/>
      <c r="T89" s="73"/>
      <c r="U89" s="244">
        <f t="shared" si="29"/>
        <v>0</v>
      </c>
      <c r="W89" s="308" t="s">
        <v>251</v>
      </c>
    </row>
    <row r="90" spans="1:23" s="15" customFormat="1" ht="20.100000000000001" customHeight="1">
      <c r="A90" s="473"/>
      <c r="B90" s="372"/>
      <c r="C90" s="92" t="s">
        <v>6</v>
      </c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253"/>
      <c r="Q90" s="252"/>
      <c r="R90" s="73"/>
      <c r="S90" s="73"/>
      <c r="T90" s="73"/>
      <c r="U90" s="244">
        <f t="shared" si="29"/>
        <v>0</v>
      </c>
    </row>
    <row r="91" spans="1:23" s="15" customFormat="1" ht="20.100000000000001" customHeight="1">
      <c r="A91" s="473"/>
      <c r="B91" s="371" t="s">
        <v>246</v>
      </c>
      <c r="C91" s="92" t="s">
        <v>5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253"/>
      <c r="Q91" s="252"/>
      <c r="R91" s="73"/>
      <c r="S91" s="73"/>
      <c r="T91" s="73"/>
      <c r="U91" s="244">
        <f t="shared" si="29"/>
        <v>0</v>
      </c>
    </row>
    <row r="92" spans="1:23" s="15" customFormat="1" ht="20.100000000000001" customHeight="1">
      <c r="A92" s="473"/>
      <c r="B92" s="372"/>
      <c r="C92" s="92" t="s">
        <v>6</v>
      </c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253"/>
      <c r="Q92" s="252">
        <f>Q91*1.1</f>
        <v>0</v>
      </c>
      <c r="R92" s="73"/>
      <c r="S92" s="73"/>
      <c r="T92" s="73"/>
      <c r="U92" s="244">
        <f t="shared" si="29"/>
        <v>0</v>
      </c>
    </row>
    <row r="93" spans="1:23" s="15" customFormat="1" ht="20.100000000000001" customHeight="1">
      <c r="A93" s="473"/>
      <c r="B93" s="442" t="s">
        <v>95</v>
      </c>
      <c r="C93" s="92" t="s">
        <v>5</v>
      </c>
      <c r="D93" s="73"/>
      <c r="E93" s="73"/>
      <c r="F93" s="73"/>
      <c r="G93" s="73"/>
      <c r="H93" s="73">
        <v>202400</v>
      </c>
      <c r="I93" s="73"/>
      <c r="J93" s="73"/>
      <c r="K93" s="73"/>
      <c r="L93" s="73"/>
      <c r="M93" s="73"/>
      <c r="N93" s="73"/>
      <c r="O93" s="73"/>
      <c r="P93" s="252"/>
      <c r="Q93" s="252"/>
      <c r="R93" s="73"/>
      <c r="S93" s="73"/>
      <c r="T93" s="73"/>
      <c r="U93" s="244">
        <f t="shared" si="29"/>
        <v>202400</v>
      </c>
    </row>
    <row r="94" spans="1:23" s="15" customFormat="1" ht="20.100000000000001" customHeight="1">
      <c r="A94" s="473"/>
      <c r="B94" s="442"/>
      <c r="C94" s="92" t="s">
        <v>6</v>
      </c>
      <c r="D94" s="73">
        <f t="shared" ref="D94:I94" si="30">D93*1.1</f>
        <v>0</v>
      </c>
      <c r="E94" s="73">
        <f t="shared" si="30"/>
        <v>0</v>
      </c>
      <c r="F94" s="73">
        <f t="shared" si="30"/>
        <v>0</v>
      </c>
      <c r="G94" s="73">
        <f t="shared" si="30"/>
        <v>0</v>
      </c>
      <c r="H94" s="73">
        <f>H93*1.1</f>
        <v>222640.00000000003</v>
      </c>
      <c r="I94" s="73">
        <f t="shared" si="30"/>
        <v>0</v>
      </c>
      <c r="J94" s="73"/>
      <c r="K94" s="73"/>
      <c r="L94" s="73">
        <f>L93*1.1</f>
        <v>0</v>
      </c>
      <c r="M94" s="73"/>
      <c r="N94" s="73"/>
      <c r="O94" s="73"/>
      <c r="P94" s="261">
        <f>P93*1.1</f>
        <v>0</v>
      </c>
      <c r="Q94" s="73"/>
      <c r="R94" s="117"/>
      <c r="S94" s="73"/>
      <c r="T94" s="73"/>
      <c r="U94" s="244">
        <f t="shared" si="29"/>
        <v>222640.00000000003</v>
      </c>
    </row>
    <row r="95" spans="1:23" s="15" customFormat="1" ht="20.100000000000001" customHeight="1">
      <c r="A95" s="473"/>
      <c r="B95" s="464" t="s">
        <v>284</v>
      </c>
      <c r="C95" s="92" t="s">
        <v>5</v>
      </c>
      <c r="D95" s="260"/>
      <c r="E95" s="260"/>
      <c r="F95" s="260"/>
      <c r="G95" s="73">
        <v>258828</v>
      </c>
      <c r="H95" s="73"/>
      <c r="I95" s="73"/>
      <c r="J95" s="73"/>
      <c r="K95" s="73"/>
      <c r="L95" s="73"/>
      <c r="M95" s="73"/>
      <c r="N95" s="73"/>
      <c r="O95" s="73"/>
      <c r="P95" s="261"/>
      <c r="Q95" s="73"/>
      <c r="R95" s="117"/>
      <c r="S95" s="73"/>
      <c r="T95" s="73"/>
      <c r="U95" s="244">
        <f t="shared" si="29"/>
        <v>258828</v>
      </c>
    </row>
    <row r="96" spans="1:23" s="15" customFormat="1" ht="20.100000000000001" customHeight="1">
      <c r="A96" s="473"/>
      <c r="B96" s="442"/>
      <c r="C96" s="92" t="s">
        <v>6</v>
      </c>
      <c r="D96" s="73">
        <f>D95*1.1</f>
        <v>0</v>
      </c>
      <c r="E96" s="73">
        <f>E95*1.1</f>
        <v>0</v>
      </c>
      <c r="F96" s="73">
        <f>F95*1.1</f>
        <v>0</v>
      </c>
      <c r="G96" s="73">
        <f>G95*1.1</f>
        <v>284710.80000000005</v>
      </c>
      <c r="H96" s="73"/>
      <c r="I96" s="73">
        <f>I95*1.08</f>
        <v>0</v>
      </c>
      <c r="J96" s="73"/>
      <c r="K96" s="73"/>
      <c r="L96" s="73"/>
      <c r="M96" s="73"/>
      <c r="N96" s="73"/>
      <c r="O96" s="245"/>
      <c r="P96" s="262"/>
      <c r="Q96" s="73"/>
      <c r="R96" s="117"/>
      <c r="S96" s="73"/>
      <c r="T96" s="73"/>
      <c r="U96" s="244">
        <f t="shared" si="29"/>
        <v>284710.80000000005</v>
      </c>
    </row>
    <row r="97" spans="1:25" s="15" customFormat="1" ht="20.100000000000001" customHeight="1">
      <c r="A97" s="473"/>
      <c r="B97" s="371" t="s">
        <v>297</v>
      </c>
      <c r="C97" s="92" t="s">
        <v>5</v>
      </c>
      <c r="D97" s="73"/>
      <c r="E97" s="73"/>
      <c r="F97" s="73"/>
      <c r="G97" s="73"/>
      <c r="H97" s="73">
        <v>200000</v>
      </c>
      <c r="I97" s="73"/>
      <c r="J97" s="73"/>
      <c r="K97" s="73"/>
      <c r="L97" s="73"/>
      <c r="M97" s="73"/>
      <c r="N97" s="73"/>
      <c r="O97" s="245"/>
      <c r="P97" s="262"/>
      <c r="Q97" s="73"/>
      <c r="R97" s="117"/>
      <c r="S97" s="73"/>
      <c r="T97" s="73"/>
      <c r="U97" s="244"/>
    </row>
    <row r="98" spans="1:25" s="15" customFormat="1" ht="20.100000000000001" customHeight="1">
      <c r="A98" s="473"/>
      <c r="B98" s="372"/>
      <c r="C98" s="92" t="s">
        <v>6</v>
      </c>
      <c r="D98" s="73"/>
      <c r="E98" s="73"/>
      <c r="F98" s="73"/>
      <c r="G98" s="73"/>
      <c r="H98" s="73">
        <f>H97*1.1</f>
        <v>220000.00000000003</v>
      </c>
      <c r="I98" s="73"/>
      <c r="J98" s="73"/>
      <c r="K98" s="73"/>
      <c r="L98" s="73"/>
      <c r="M98" s="73"/>
      <c r="N98" s="73"/>
      <c r="O98" s="245"/>
      <c r="P98" s="262"/>
      <c r="Q98" s="73"/>
      <c r="R98" s="117"/>
      <c r="S98" s="73"/>
      <c r="T98" s="73"/>
      <c r="U98" s="244"/>
    </row>
    <row r="99" spans="1:25" s="15" customFormat="1" ht="20.100000000000001" customHeight="1">
      <c r="A99" s="473"/>
      <c r="B99" s="93" t="s">
        <v>28</v>
      </c>
      <c r="C99" s="99"/>
      <c r="D99" s="73">
        <v>295045</v>
      </c>
      <c r="E99" s="73">
        <v>164622</v>
      </c>
      <c r="F99" s="73">
        <v>53300</v>
      </c>
      <c r="G99" s="73">
        <v>224350</v>
      </c>
      <c r="H99" s="73">
        <v>330310</v>
      </c>
      <c r="I99" s="73"/>
      <c r="J99" s="73"/>
      <c r="K99" s="73"/>
      <c r="L99" s="75"/>
      <c r="M99" s="73"/>
      <c r="N99" s="73"/>
      <c r="O99" s="245"/>
      <c r="P99" s="262"/>
      <c r="Q99" s="73"/>
      <c r="R99" s="117"/>
      <c r="S99" s="73"/>
      <c r="T99" s="73"/>
      <c r="U99" s="244">
        <f t="shared" si="29"/>
        <v>1067627</v>
      </c>
    </row>
    <row r="100" spans="1:25" s="15" customFormat="1" ht="20.100000000000001" customHeight="1">
      <c r="A100" s="473"/>
      <c r="B100" s="443" t="s">
        <v>29</v>
      </c>
      <c r="C100" s="443"/>
      <c r="D100" s="263">
        <f>D3+D7+D9+D13+D15+D17+D19+D21+D23+D25+D27+D29+D31+D33+D35+D37+D39+D41+D43+D45+D47+D51+D53+D55+D57+D59+D61+D63+D65+D67+D69+D71+D73+D75+D77+D79+D93+D95+D99+D87</f>
        <v>4772083</v>
      </c>
      <c r="E100" s="263">
        <f>E3+E7+E9+E13+E15+E17+E19+E21+E23+E25+E27+E29+E31+E33+E35+E37+E39+E41+E43+E45+E47+E51+E53+E55+E57+E59+E61+E63+E65+E67+E69+E71+E73+E75+E77+E79+E93+E95+E99+E87</f>
        <v>1374182</v>
      </c>
      <c r="F100" s="263">
        <f>F3+F7+F9+F13+F15+F17+F19+F21+F23+F25+F27+F29+F31+F33+F35+F37+F39+F41+F43+F45+F47+F51+F53+F55+F57+F59+F61+F63+F65+F67+F69+F71+F73+F75+F77+F79+F93+F95+F99+F87</f>
        <v>161300</v>
      </c>
      <c r="G100" s="263">
        <f>G3+G7+G9+G13+G15+G17+G19+G21+G23+G25+G27+G29+G31+G33+G35+G37+G39+G41+G43+G45+G47+G51+G53+G55+G57+G59+G61+G63+G65+G67+G69+G71+G73+G75+G77+G79+G93+G95+G99+G87+G81+G83+G85</f>
        <v>2742248</v>
      </c>
      <c r="H100" s="263">
        <f>H3+H7+H9+H13+H15+H17+H19+H21+H23+H25+H27+H29+H31+H33+H35+H37+H39+H41+H43+H45+H47+H51+H53+H55+H57+H59+H61+H63+H65+H67+H69+H71+H73+H75+H77+H79+H93+H95+H99+H87+H81+H83+H85+H97</f>
        <v>4170550</v>
      </c>
      <c r="I100" s="263">
        <f>I3+I7+I9+I13+I15+I17+I19+I21+I23+I25+I27+I29+I31+I33+I35+I37+I39+I41+I43+I45+I47+I51+I53+I55+I57+I59+I61+I63+I65+I67+I69+I71+I73+I75+I77+I79+I93+I95+I99+I87+I81+I83+I85</f>
        <v>485100</v>
      </c>
      <c r="J100" s="263"/>
      <c r="K100" s="263">
        <f>K3+K7+K9+K13+K15+K17+K19+K21+K23+K25+K27+K29+K31+K33+K35+K37+K39+K41+K43+K45+K47+K51+K53+K55+K57+K59+K61+K63+K65+K67+K69+K71+K73+K75+K77+K79+K93+K95+K99+K87+K49+K81+K83+K85</f>
        <v>0</v>
      </c>
      <c r="L100" s="263">
        <f>L3+L7+L9+L13+L15+L17+L19+L21+L23+L25+L27+L29+L31+L33+L35+L37+L39+L41+L43+L45+L47+L51+L53+L55+L57+L59+L61+L63+L65+L67+L69+L71+L73+L75+L77+L79+L93+L95+L99+L87</f>
        <v>0</v>
      </c>
      <c r="M100" s="263">
        <f>M3+M7+M9+M13+M15+M17+M19+M21+M23+M25+M27+M29+M31+M33+M35+M37+M39+M41+M43+M45+M47+M51+M53+M55+M57+M59+M61+M63+M65+M67+M69+M71+M73+M75+M77+M79+M93+M95+M99+M87</f>
        <v>0</v>
      </c>
      <c r="N100" s="263">
        <f>N3+N7+N9+N13+N15+N17+N19+N21+N23+N25+N27+N29+N31+N33+N35+N37+N39+N41+N43+N45+N47+N51+N53+N55+N57+N59+N61+N63+N65+N67+N69+N71+N73+N75+N77+N79+N93+N95+N99+N87</f>
        <v>0</v>
      </c>
      <c r="O100" s="264">
        <f>O3+O9+O13+O7+O17+O15+O21+O19+O23+O27+O99+O25+O33+O35+O29+O39+O41+O45+O47+O95+O57+O53+O43+O59+O63+O67+O61+O37+O65+O69+O71+O73+O75+O77+O79+O93+O85</f>
        <v>0</v>
      </c>
      <c r="P100" s="264">
        <f>P3+P9+P13+P7+P17+P15+P21+P19+P23+P27+P99+P25+P33+P35+P29+P39+P41+P45+P47+P95+P57+P53+P43+P59+P63+P67+P61+P37+P65+P69+P71+P73+P75+P77+P79+P93+P49</f>
        <v>0</v>
      </c>
      <c r="Q100" s="265">
        <f>Q3+Q9+Q13+Q7+Q17+Q15+Q21+Q19+Q23+Q27+Q99+Q25+Q33+Q35+Q29+Q39+Q41+Q45+Q47+Q95+Q57+Q53+Q43+Q59+Q63+Q67+Q61+Q37+Q65+Q69+Q71+Q73+Q75+Q77+Q79+Q93+Q85+Q91</f>
        <v>0</v>
      </c>
      <c r="R100" s="263">
        <f>R3+R9+R13+R7+R17+R15+R21+R19+R23+R27+R99+R25+R33+R35+R29+R39+R41+R45+R47+R95+R57+R53+R43+R59+R63+R67+R61+R37+R65+R69+R71+R73+R75+R77+R79+R93</f>
        <v>0</v>
      </c>
      <c r="S100" s="265">
        <f>S3+S9+S13+S7+S17+S15+S21+S19+S23+S27+S99+S25+S33+S35+S29+S39+S41+S45+S47+S95+S57+S53+S43+S59+S63+S67+S61+S37+S65+S69+S71+S73+S75+S77+S79+S93</f>
        <v>0</v>
      </c>
      <c r="T100" s="265">
        <f>T3+T9+T13+T7+T17+T15+T21+T19+T23+T27+T99+T25+T33+T35+T29+T39+T41+T45+T47+T95+T57+T53+T43+T59+T63+T67+T61+T37+T65+T69+T71+T73+T75+T77+T79+T93</f>
        <v>0</v>
      </c>
      <c r="U100" s="244">
        <f>SUM(D100:T100)</f>
        <v>13705463</v>
      </c>
      <c r="V100" s="23" t="e">
        <f>SUM(#REF!)</f>
        <v>#REF!</v>
      </c>
      <c r="X100" s="43">
        <f>U100+W100</f>
        <v>13705463</v>
      </c>
      <c r="Y100" s="23">
        <f>P100+Q100</f>
        <v>0</v>
      </c>
    </row>
    <row r="101" spans="1:25" s="15" customFormat="1" ht="20.100000000000001" customHeight="1">
      <c r="A101" s="444" t="s">
        <v>30</v>
      </c>
      <c r="B101" s="123" t="s">
        <v>142</v>
      </c>
      <c r="C101" s="22" t="s">
        <v>5</v>
      </c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244">
        <f>SUM(D101:T101)</f>
        <v>0</v>
      </c>
    </row>
    <row r="102" spans="1:25" s="15" customFormat="1" ht="20.100000000000001" customHeight="1">
      <c r="A102" s="445"/>
      <c r="B102" s="40" t="s">
        <v>31</v>
      </c>
      <c r="C102" s="22" t="s">
        <v>5</v>
      </c>
      <c r="D102" s="73"/>
      <c r="E102" s="73">
        <v>1020924</v>
      </c>
      <c r="F102" s="73">
        <v>15582</v>
      </c>
      <c r="G102" s="73">
        <v>981042</v>
      </c>
      <c r="H102" s="73">
        <v>1078733</v>
      </c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244">
        <f>SUM(D102:T102)</f>
        <v>3096281</v>
      </c>
    </row>
    <row r="103" spans="1:25" s="15" customFormat="1" ht="20.100000000000001" customHeight="1">
      <c r="A103" s="445"/>
      <c r="B103" s="39" t="s">
        <v>116</v>
      </c>
      <c r="C103" s="76" t="s">
        <v>5</v>
      </c>
      <c r="D103" s="73">
        <v>560664</v>
      </c>
      <c r="E103" s="73"/>
      <c r="F103" s="73"/>
      <c r="G103" s="73"/>
      <c r="H103" s="73">
        <v>182712</v>
      </c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244">
        <f>SUM(D103:T103)</f>
        <v>743376</v>
      </c>
    </row>
    <row r="104" spans="1:25" s="15" customFormat="1" ht="20.100000000000001" customHeight="1">
      <c r="A104" s="446"/>
      <c r="B104" s="84" t="s">
        <v>117</v>
      </c>
      <c r="C104" s="319" t="s">
        <v>5</v>
      </c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244">
        <f>SUM(D104:T104)</f>
        <v>0</v>
      </c>
    </row>
    <row r="105" spans="1:25" s="15" customFormat="1" ht="20.100000000000001" customHeight="1">
      <c r="A105" s="446"/>
      <c r="B105" s="101" t="s">
        <v>118</v>
      </c>
      <c r="C105" s="319" t="s">
        <v>5</v>
      </c>
      <c r="D105" s="118"/>
      <c r="E105" s="118"/>
      <c r="F105" s="118"/>
      <c r="G105" s="118"/>
      <c r="H105" s="118"/>
      <c r="I105" s="73"/>
      <c r="J105" s="73"/>
      <c r="K105" s="118"/>
      <c r="L105" s="118"/>
      <c r="M105" s="118"/>
      <c r="N105" s="118"/>
      <c r="O105" s="118"/>
      <c r="P105" s="118"/>
      <c r="Q105" s="239"/>
      <c r="R105" s="118"/>
      <c r="S105" s="118"/>
      <c r="T105" s="118"/>
      <c r="U105" s="118"/>
    </row>
    <row r="106" spans="1:25" s="15" customFormat="1" ht="20.100000000000001" customHeight="1">
      <c r="A106" s="446"/>
      <c r="B106" s="101" t="s">
        <v>119</v>
      </c>
      <c r="C106" s="319" t="s">
        <v>5</v>
      </c>
      <c r="D106" s="118"/>
      <c r="E106" s="118"/>
      <c r="F106" s="118"/>
      <c r="G106" s="118"/>
      <c r="H106" s="118"/>
      <c r="I106" s="73"/>
      <c r="J106" s="73"/>
      <c r="K106" s="118"/>
      <c r="L106" s="118"/>
      <c r="M106" s="118"/>
      <c r="N106" s="118"/>
      <c r="O106" s="73"/>
      <c r="P106" s="73"/>
      <c r="Q106" s="118"/>
      <c r="R106" s="118"/>
      <c r="S106" s="118"/>
      <c r="T106" s="118"/>
      <c r="U106" s="118"/>
    </row>
    <row r="107" spans="1:25" s="15" customFormat="1" ht="20.100000000000001" customHeight="1">
      <c r="A107" s="445"/>
      <c r="B107" s="89" t="s">
        <v>120</v>
      </c>
      <c r="C107" s="77" t="s">
        <v>5</v>
      </c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244">
        <f t="shared" ref="U107:U121" si="31">SUM(D107:T107)</f>
        <v>0</v>
      </c>
    </row>
    <row r="108" spans="1:25" s="15" customFormat="1" ht="20.100000000000001" customHeight="1">
      <c r="A108" s="445"/>
      <c r="B108" s="38" t="s">
        <v>121</v>
      </c>
      <c r="C108" s="22" t="s">
        <v>5</v>
      </c>
      <c r="D108" s="118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244">
        <f t="shared" si="31"/>
        <v>0</v>
      </c>
    </row>
    <row r="109" spans="1:25" s="15" customFormat="1" ht="20.100000000000001" customHeight="1">
      <c r="A109" s="445"/>
      <c r="B109" s="38" t="s">
        <v>122</v>
      </c>
      <c r="C109" s="22" t="s">
        <v>5</v>
      </c>
      <c r="D109" s="118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244">
        <f t="shared" si="31"/>
        <v>0</v>
      </c>
    </row>
    <row r="110" spans="1:25" s="15" customFormat="1" ht="20.100000000000001" customHeight="1">
      <c r="A110" s="445"/>
      <c r="B110" s="38" t="s">
        <v>123</v>
      </c>
      <c r="C110" s="22" t="s">
        <v>5</v>
      </c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244">
        <f t="shared" si="31"/>
        <v>0</v>
      </c>
    </row>
    <row r="111" spans="1:25" s="15" customFormat="1" ht="20.100000000000001" customHeight="1">
      <c r="A111" s="445"/>
      <c r="B111" s="38" t="s">
        <v>124</v>
      </c>
      <c r="C111" s="22" t="s">
        <v>5</v>
      </c>
      <c r="D111" s="118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244">
        <f t="shared" si="31"/>
        <v>0</v>
      </c>
    </row>
    <row r="112" spans="1:25" s="15" customFormat="1" ht="20.100000000000001" customHeight="1">
      <c r="A112" s="445"/>
      <c r="B112" s="38" t="s">
        <v>125</v>
      </c>
      <c r="C112" s="22" t="s">
        <v>5</v>
      </c>
      <c r="D112" s="118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244">
        <f t="shared" si="31"/>
        <v>0</v>
      </c>
    </row>
    <row r="113" spans="1:23" s="15" customFormat="1" ht="20.100000000000001" customHeight="1">
      <c r="A113" s="445"/>
      <c r="B113" s="38" t="s">
        <v>91</v>
      </c>
      <c r="C113" s="22" t="s">
        <v>5</v>
      </c>
      <c r="D113" s="118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244">
        <f t="shared" si="31"/>
        <v>0</v>
      </c>
    </row>
    <row r="114" spans="1:23" s="15" customFormat="1" ht="20.100000000000001" customHeight="1">
      <c r="A114" s="445"/>
      <c r="B114" s="38" t="s">
        <v>93</v>
      </c>
      <c r="C114" s="22" t="s">
        <v>5</v>
      </c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244">
        <f t="shared" si="31"/>
        <v>0</v>
      </c>
    </row>
    <row r="115" spans="1:23" s="15" customFormat="1" ht="20.100000000000001" customHeight="1">
      <c r="A115" s="445"/>
      <c r="B115" s="39" t="s">
        <v>96</v>
      </c>
      <c r="C115" s="22" t="s">
        <v>5</v>
      </c>
      <c r="D115" s="239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244">
        <f t="shared" si="31"/>
        <v>0</v>
      </c>
    </row>
    <row r="116" spans="1:23" s="15" customFormat="1" ht="20.100000000000001" customHeight="1">
      <c r="A116" s="445"/>
      <c r="B116" s="39" t="s">
        <v>24</v>
      </c>
      <c r="C116" s="22" t="s">
        <v>5</v>
      </c>
      <c r="D116" s="239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244">
        <f t="shared" si="31"/>
        <v>0</v>
      </c>
    </row>
    <row r="117" spans="1:23" s="15" customFormat="1" ht="20.100000000000001" customHeight="1">
      <c r="A117" s="445"/>
      <c r="B117" s="39" t="s">
        <v>99</v>
      </c>
      <c r="C117" s="22" t="s">
        <v>5</v>
      </c>
      <c r="D117" s="73">
        <v>2583582</v>
      </c>
      <c r="E117" s="73">
        <v>95292</v>
      </c>
      <c r="F117" s="73"/>
      <c r="G117" s="73">
        <v>1214400</v>
      </c>
      <c r="H117" s="73">
        <v>1727670</v>
      </c>
      <c r="I117" s="73">
        <v>512100</v>
      </c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244">
        <f t="shared" si="31"/>
        <v>6133044</v>
      </c>
    </row>
    <row r="118" spans="1:23" s="15" customFormat="1" ht="20.100000000000001" customHeight="1">
      <c r="A118" s="445"/>
      <c r="B118" s="39" t="s">
        <v>101</v>
      </c>
      <c r="C118" s="22" t="s">
        <v>5</v>
      </c>
      <c r="D118" s="317">
        <v>38028</v>
      </c>
      <c r="E118" s="117"/>
      <c r="F118" s="117"/>
      <c r="G118" s="117"/>
      <c r="H118" s="117">
        <v>57042</v>
      </c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244">
        <f t="shared" si="31"/>
        <v>95070</v>
      </c>
    </row>
    <row r="119" spans="1:23" s="15" customFormat="1" ht="20.100000000000001" customHeight="1">
      <c r="A119" s="445"/>
      <c r="B119" s="38" t="s">
        <v>103</v>
      </c>
      <c r="C119" s="22" t="s">
        <v>5</v>
      </c>
      <c r="D119" s="73">
        <v>649250</v>
      </c>
      <c r="E119" s="117"/>
      <c r="F119" s="73"/>
      <c r="G119" s="73"/>
      <c r="H119" s="73">
        <v>966000</v>
      </c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244">
        <f t="shared" si="31"/>
        <v>1615250</v>
      </c>
    </row>
    <row r="120" spans="1:23" s="15" customFormat="1" ht="20.100000000000001" customHeight="1">
      <c r="A120" s="445"/>
      <c r="B120" s="39" t="s">
        <v>128</v>
      </c>
      <c r="C120" s="22" t="s">
        <v>5</v>
      </c>
      <c r="D120" s="73"/>
      <c r="E120" s="117"/>
      <c r="F120" s="117"/>
      <c r="G120" s="117"/>
      <c r="H120" s="117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244">
        <f t="shared" si="31"/>
        <v>0</v>
      </c>
    </row>
    <row r="121" spans="1:23" s="15" customFormat="1" ht="20.100000000000001" customHeight="1">
      <c r="A121" s="445"/>
      <c r="B121" s="39" t="s">
        <v>105</v>
      </c>
      <c r="C121" s="22" t="s">
        <v>5</v>
      </c>
      <c r="D121" s="239"/>
      <c r="E121" s="117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244">
        <f t="shared" si="31"/>
        <v>0</v>
      </c>
    </row>
    <row r="122" spans="1:23" s="15" customFormat="1" ht="20.100000000000001" customHeight="1">
      <c r="A122" s="445"/>
      <c r="B122" s="219" t="s">
        <v>229</v>
      </c>
      <c r="C122" s="22" t="s">
        <v>5</v>
      </c>
      <c r="D122" s="239"/>
      <c r="E122" s="117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244"/>
    </row>
    <row r="123" spans="1:23" s="15" customFormat="1" ht="20.100000000000001" customHeight="1">
      <c r="A123" s="445"/>
      <c r="B123" s="39" t="s">
        <v>106</v>
      </c>
      <c r="C123" s="22" t="s">
        <v>5</v>
      </c>
      <c r="D123" s="239"/>
      <c r="E123" s="117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244">
        <f t="shared" ref="U123:U137" si="32">SUM(D123:T123)</f>
        <v>0</v>
      </c>
    </row>
    <row r="124" spans="1:23" s="15" customFormat="1" ht="20.100000000000001" customHeight="1">
      <c r="A124" s="445"/>
      <c r="B124" s="39" t="s">
        <v>107</v>
      </c>
      <c r="C124" s="22" t="s">
        <v>5</v>
      </c>
      <c r="D124" s="239"/>
      <c r="E124" s="117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244">
        <f t="shared" si="32"/>
        <v>0</v>
      </c>
    </row>
    <row r="125" spans="1:23" s="15" customFormat="1" ht="20.100000000000001" customHeight="1">
      <c r="A125" s="445"/>
      <c r="B125" s="39" t="s">
        <v>108</v>
      </c>
      <c r="C125" s="22" t="s">
        <v>5</v>
      </c>
      <c r="D125" s="317">
        <v>94920</v>
      </c>
      <c r="E125" s="117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244">
        <f t="shared" si="32"/>
        <v>94920</v>
      </c>
    </row>
    <row r="126" spans="1:23" s="15" customFormat="1" ht="20.100000000000001" customHeight="1">
      <c r="A126" s="445"/>
      <c r="B126" s="39" t="s">
        <v>109</v>
      </c>
      <c r="C126" s="22" t="s">
        <v>5</v>
      </c>
      <c r="D126" s="73"/>
      <c r="E126" s="253"/>
      <c r="F126" s="252"/>
      <c r="G126" s="252"/>
      <c r="H126" s="252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244">
        <f t="shared" si="32"/>
        <v>0</v>
      </c>
      <c r="W126" s="23"/>
    </row>
    <row r="127" spans="1:23" s="15" customFormat="1" ht="20.100000000000001" customHeight="1">
      <c r="A127" s="445"/>
      <c r="B127" s="39" t="s">
        <v>110</v>
      </c>
      <c r="C127" s="22" t="s">
        <v>5</v>
      </c>
      <c r="D127" s="73">
        <v>280212</v>
      </c>
      <c r="E127" s="253"/>
      <c r="F127" s="252"/>
      <c r="G127" s="252">
        <v>427848</v>
      </c>
      <c r="H127" s="252">
        <v>131250</v>
      </c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244">
        <f t="shared" si="32"/>
        <v>839310</v>
      </c>
    </row>
    <row r="128" spans="1:23" s="15" customFormat="1" ht="20.100000000000001" customHeight="1">
      <c r="A128" s="445"/>
      <c r="B128" s="39" t="s">
        <v>111</v>
      </c>
      <c r="C128" s="22" t="s">
        <v>5</v>
      </c>
      <c r="D128" s="317">
        <v>111980</v>
      </c>
      <c r="E128" s="253"/>
      <c r="F128" s="252"/>
      <c r="G128" s="252">
        <v>67188</v>
      </c>
      <c r="H128" s="252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244">
        <f t="shared" si="32"/>
        <v>179168</v>
      </c>
    </row>
    <row r="129" spans="1:23" s="15" customFormat="1" ht="20.100000000000001" customHeight="1">
      <c r="A129" s="445"/>
      <c r="B129" s="39" t="s">
        <v>112</v>
      </c>
      <c r="C129" s="22" t="s">
        <v>5</v>
      </c>
      <c r="D129" s="239"/>
      <c r="E129" s="253"/>
      <c r="F129" s="252"/>
      <c r="G129" s="252"/>
      <c r="H129" s="252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244">
        <f t="shared" si="32"/>
        <v>0</v>
      </c>
    </row>
    <row r="130" spans="1:23" s="15" customFormat="1" ht="20.100000000000001" customHeight="1">
      <c r="A130" s="445"/>
      <c r="B130" s="39" t="s">
        <v>113</v>
      </c>
      <c r="C130" s="22" t="s">
        <v>5</v>
      </c>
      <c r="D130" s="239"/>
      <c r="E130" s="253"/>
      <c r="F130" s="252"/>
      <c r="G130" s="252"/>
      <c r="H130" s="252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244">
        <f t="shared" si="32"/>
        <v>0</v>
      </c>
    </row>
    <row r="131" spans="1:23" s="15" customFormat="1" ht="20.100000000000001" customHeight="1">
      <c r="A131" s="445"/>
      <c r="B131" s="39" t="s">
        <v>26</v>
      </c>
      <c r="C131" s="22" t="s">
        <v>5</v>
      </c>
      <c r="D131" s="73"/>
      <c r="E131" s="253"/>
      <c r="F131" s="252"/>
      <c r="G131" s="252"/>
      <c r="H131" s="252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244">
        <f t="shared" si="32"/>
        <v>0</v>
      </c>
    </row>
    <row r="132" spans="1:23" s="15" customFormat="1" ht="20.100000000000001" customHeight="1">
      <c r="A132" s="445"/>
      <c r="B132" s="39" t="s">
        <v>114</v>
      </c>
      <c r="C132" s="22" t="s">
        <v>5</v>
      </c>
      <c r="D132" s="73"/>
      <c r="E132" s="253"/>
      <c r="F132" s="252"/>
      <c r="G132" s="252"/>
      <c r="H132" s="252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244">
        <f t="shared" si="32"/>
        <v>0</v>
      </c>
    </row>
    <row r="133" spans="1:23" s="15" customFormat="1" ht="20.100000000000001" customHeight="1">
      <c r="A133" s="445"/>
      <c r="B133" s="39" t="s">
        <v>133</v>
      </c>
      <c r="C133" s="22" t="s">
        <v>5</v>
      </c>
      <c r="D133" s="239"/>
      <c r="E133" s="253"/>
      <c r="F133" s="252"/>
      <c r="G133" s="252"/>
      <c r="H133" s="252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244">
        <f t="shared" si="32"/>
        <v>0</v>
      </c>
    </row>
    <row r="134" spans="1:23" s="15" customFormat="1" ht="19.5" customHeight="1">
      <c r="A134" s="445"/>
      <c r="B134" s="39" t="s">
        <v>131</v>
      </c>
      <c r="C134" s="22" t="s">
        <v>5</v>
      </c>
      <c r="D134" s="73">
        <v>1423152</v>
      </c>
      <c r="E134" s="253"/>
      <c r="F134" s="252"/>
      <c r="G134" s="252">
        <v>66429</v>
      </c>
      <c r="H134" s="252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44">
        <f t="shared" si="32"/>
        <v>1489581</v>
      </c>
    </row>
    <row r="135" spans="1:23" s="15" customFormat="1" ht="20.100000000000001" customHeight="1">
      <c r="A135" s="445"/>
      <c r="B135" s="39" t="s">
        <v>115</v>
      </c>
      <c r="C135" s="22" t="s">
        <v>5</v>
      </c>
      <c r="D135" s="73"/>
      <c r="E135" s="253"/>
      <c r="F135" s="252"/>
      <c r="G135" s="252"/>
      <c r="H135" s="252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244">
        <f t="shared" si="32"/>
        <v>0</v>
      </c>
    </row>
    <row r="136" spans="1:23" s="15" customFormat="1" ht="20.100000000000001" customHeight="1">
      <c r="A136" s="445"/>
      <c r="B136" s="39" t="s">
        <v>27</v>
      </c>
      <c r="C136" s="22" t="s">
        <v>5</v>
      </c>
      <c r="D136" s="239"/>
      <c r="E136" s="253"/>
      <c r="F136" s="252"/>
      <c r="G136" s="252"/>
      <c r="H136" s="252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244">
        <f t="shared" si="32"/>
        <v>0</v>
      </c>
    </row>
    <row r="137" spans="1:23" s="15" customFormat="1" ht="19.5" customHeight="1">
      <c r="A137" s="445"/>
      <c r="B137" s="39" t="s">
        <v>37</v>
      </c>
      <c r="C137" s="22" t="s">
        <v>5</v>
      </c>
      <c r="D137" s="73"/>
      <c r="E137" s="117">
        <v>370000</v>
      </c>
      <c r="F137" s="73">
        <v>120000</v>
      </c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244">
        <f t="shared" si="32"/>
        <v>490000</v>
      </c>
    </row>
    <row r="138" spans="1:23" s="15" customFormat="1" ht="20.100000000000001" customHeight="1">
      <c r="A138" s="445"/>
      <c r="B138" s="219" t="s">
        <v>230</v>
      </c>
      <c r="C138" s="22" t="s">
        <v>5</v>
      </c>
      <c r="D138" s="73"/>
      <c r="E138" s="259"/>
      <c r="F138" s="260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244"/>
    </row>
    <row r="139" spans="1:23" s="15" customFormat="1" ht="20.100000000000001" customHeight="1">
      <c r="A139" s="445"/>
      <c r="B139" s="219" t="s">
        <v>231</v>
      </c>
      <c r="C139" s="22" t="s">
        <v>5</v>
      </c>
      <c r="D139" s="73"/>
      <c r="E139" s="259"/>
      <c r="F139" s="260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244"/>
    </row>
    <row r="140" spans="1:23" s="15" customFormat="1" ht="20.100000000000001" customHeight="1">
      <c r="A140" s="445"/>
      <c r="B140" s="219" t="s">
        <v>233</v>
      </c>
      <c r="C140" s="22" t="s">
        <v>5</v>
      </c>
      <c r="D140" s="73"/>
      <c r="E140" s="259"/>
      <c r="F140" s="260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244"/>
    </row>
    <row r="141" spans="1:23" s="15" customFormat="1" ht="20.100000000000001" customHeight="1">
      <c r="A141" s="445"/>
      <c r="B141" s="219" t="s">
        <v>248</v>
      </c>
      <c r="C141" s="22" t="s">
        <v>5</v>
      </c>
      <c r="D141" s="73"/>
      <c r="E141" s="259"/>
      <c r="F141" s="260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244"/>
    </row>
    <row r="142" spans="1:23" s="15" customFormat="1" ht="20.100000000000001" customHeight="1">
      <c r="A142" s="445"/>
      <c r="B142" s="219" t="s">
        <v>246</v>
      </c>
      <c r="C142" s="22" t="s">
        <v>5</v>
      </c>
      <c r="D142" s="73"/>
      <c r="E142" s="259"/>
      <c r="F142" s="260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244"/>
      <c r="W142" s="222">
        <f>(G147+D147)/2</f>
        <v>260380.5</v>
      </c>
    </row>
    <row r="143" spans="1:23" s="15" customFormat="1" ht="20.100000000000001" customHeight="1">
      <c r="A143" s="445"/>
      <c r="B143" s="124" t="s">
        <v>143</v>
      </c>
      <c r="C143" s="22" t="s">
        <v>5</v>
      </c>
      <c r="D143" s="73"/>
      <c r="E143" s="259"/>
      <c r="F143" s="260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244"/>
    </row>
    <row r="144" spans="1:23" s="15" customFormat="1" ht="20.100000000000001" customHeight="1">
      <c r="A144" s="445"/>
      <c r="B144" s="219" t="s">
        <v>297</v>
      </c>
      <c r="C144" s="22"/>
      <c r="D144" s="73"/>
      <c r="E144" s="259"/>
      <c r="F144" s="260"/>
      <c r="G144" s="73"/>
      <c r="H144" s="73">
        <v>235230</v>
      </c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244"/>
    </row>
    <row r="145" spans="1:26" s="15" customFormat="1" ht="20.100000000000001" customHeight="1">
      <c r="A145" s="445"/>
      <c r="B145" s="39" t="s">
        <v>95</v>
      </c>
      <c r="C145" s="22" t="s">
        <v>5</v>
      </c>
      <c r="D145" s="73"/>
      <c r="E145" s="259"/>
      <c r="F145" s="260"/>
      <c r="G145" s="73"/>
      <c r="H145" s="73">
        <v>220000</v>
      </c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244">
        <f>SUM(D145:T145)</f>
        <v>220000</v>
      </c>
    </row>
    <row r="146" spans="1:26" s="15" customFormat="1" ht="20.100000000000001" customHeight="1">
      <c r="A146" s="445"/>
      <c r="B146" s="156" t="s">
        <v>284</v>
      </c>
      <c r="C146" s="22" t="s">
        <v>5</v>
      </c>
      <c r="D146" s="74"/>
      <c r="E146" s="277"/>
      <c r="F146" s="278"/>
      <c r="G146" s="278">
        <v>304504.23529411771</v>
      </c>
      <c r="H146" s="278"/>
      <c r="I146" s="74"/>
      <c r="J146" s="266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244">
        <f>SUM(D146:T146)</f>
        <v>304504.23529411771</v>
      </c>
      <c r="V146" s="23"/>
    </row>
    <row r="147" spans="1:26" s="15" customFormat="1" ht="20.100000000000001" customHeight="1" thickBot="1">
      <c r="A147" s="445"/>
      <c r="B147" s="41" t="s">
        <v>126</v>
      </c>
      <c r="C147" s="42"/>
      <c r="D147" s="75">
        <v>294145</v>
      </c>
      <c r="E147" s="280">
        <v>163223</v>
      </c>
      <c r="F147" s="281">
        <v>53300</v>
      </c>
      <c r="G147" s="250">
        <v>226616</v>
      </c>
      <c r="H147" s="250">
        <v>335627</v>
      </c>
      <c r="I147" s="282"/>
      <c r="J147" s="282"/>
      <c r="K147" s="283"/>
      <c r="L147" s="75"/>
      <c r="M147" s="75"/>
      <c r="N147" s="75"/>
      <c r="O147" s="75"/>
      <c r="P147" s="75"/>
      <c r="Q147" s="75"/>
      <c r="R147" s="75"/>
      <c r="S147" s="75"/>
      <c r="T147" s="75"/>
      <c r="U147" s="244">
        <f>SUM(D147:T147)</f>
        <v>1072911</v>
      </c>
      <c r="V147" s="23">
        <f>F147-F99</f>
        <v>0</v>
      </c>
      <c r="W147" s="43">
        <f>U148+V147</f>
        <v>16608645.235294119</v>
      </c>
      <c r="X147" s="23"/>
      <c r="Y147" s="23" t="e">
        <f>#REF!-#REF!</f>
        <v>#REF!</v>
      </c>
    </row>
    <row r="148" spans="1:26" s="15" customFormat="1" ht="20.100000000000001" customHeight="1" thickBot="1">
      <c r="A148" s="447" t="s">
        <v>39</v>
      </c>
      <c r="B148" s="448"/>
      <c r="C148" s="448"/>
      <c r="D148" s="320">
        <f>SUM(D101:D147)</f>
        <v>6035933</v>
      </c>
      <c r="E148" s="320">
        <f>SUM(E101:E147)</f>
        <v>1649439</v>
      </c>
      <c r="F148" s="321">
        <f>SUM(F101:F147)</f>
        <v>188882</v>
      </c>
      <c r="G148" s="321">
        <f>SUM(G101:G147)</f>
        <v>3288027.2352941176</v>
      </c>
      <c r="H148" s="321">
        <f>SUM(H101:H147)</f>
        <v>4934264</v>
      </c>
      <c r="I148" s="320">
        <f>I101+I103+I102+I108+I107+I110+I109+I111+I104+I113+I137+I119+I112+I114+I125+I116+I124+I118+I120+I145+I123+I121+I117+I126+I128+I130+I127+I129+I131+I132+I133+I134+I135+I136+I138+I139+I140+I143+I146+I115+I122+I105+I106+I147</f>
        <v>512100</v>
      </c>
      <c r="J148" s="322"/>
      <c r="K148" s="320">
        <f>K101+K103+K102+K108+K107+K110+K109+K111+K104+K113+K137+K119+K112+K114+K125+K116+K124+K118+K120+K145+K123+K121+K117+K126+K128+K130+K127+K129+K131+K132+K133+K134+K135+K136+K105+K106+K115+K122+K138+K139+K140+K143+K146+K147</f>
        <v>0</v>
      </c>
      <c r="L148" s="320">
        <f>L101+L103+L102+L108+L107+L110+L109+L111+L104+L113+L137+L119+L112+L114+L125+L116+L124+L118+L120+L145+L123+L121+L117+L126+L128+L130+L127+L129+L131+L132+L133+L134+L135+L136+L105+L106+L115+L122+L138+L139+L140+L143+L146+L147</f>
        <v>0</v>
      </c>
      <c r="M148" s="320">
        <f>M101+M103+M102+M108+M107+M110+M109+M111+M104+M113+M137+M119+M112+M114+M125+M116+M124+M118+M120+M145+M123+M121+M117+M126+M128+M130+M127+M129+M131+M132+M133+M134+M135+M136+M105+M106+M115+M122+M138+M139+M140+M143+M146+M147</f>
        <v>0</v>
      </c>
      <c r="N148" s="320">
        <f>N101+N103+N102+N108+N107+N110+N109+N111+N104+N113+N137+N119+N112+N114+N125+N116+N124+N118+N120+N145+N123+N121+N117+N126+N128+N130+N127+N129+N131+N132+N133+N134+N135+N136+N105+N106+N115+N122+N138+N139+N140+N143+N146+N147</f>
        <v>0</v>
      </c>
      <c r="O148" s="320">
        <f>O101+O103+O102+O108+O107+O110+O109+O111+O104+O113+O137+O119+O112+O114+O125+O116+O124+O118+O120+O145+O123+O121+O117+O126+O128+O130+O127+O129+O131+O132+O133+O134+O135+O136+O105+O106+O115+O122+O138+O139+O140+O143+O146+O147</f>
        <v>0</v>
      </c>
      <c r="P148" s="323">
        <f>SUM(P101:P147)</f>
        <v>0</v>
      </c>
      <c r="Q148" s="324">
        <f>SUM(Q101:Q147)</f>
        <v>0</v>
      </c>
      <c r="R148" s="325">
        <f>R146+R147</f>
        <v>0</v>
      </c>
      <c r="S148" s="320">
        <f>S146+S147</f>
        <v>0</v>
      </c>
      <c r="T148" s="320">
        <f>T146+T147</f>
        <v>0</v>
      </c>
      <c r="U148" s="269">
        <f>SUM(D148:T148)</f>
        <v>16608645.235294119</v>
      </c>
      <c r="V148" s="221">
        <f>V147/F147</f>
        <v>0</v>
      </c>
      <c r="W148" s="43">
        <f>W147-X100</f>
        <v>2903182.2352941185</v>
      </c>
      <c r="Y148" s="221" t="e">
        <f>Y147/#REF!</f>
        <v>#REF!</v>
      </c>
      <c r="Z148" s="222" t="e">
        <f>#REF!/0.8</f>
        <v>#REF!</v>
      </c>
    </row>
    <row r="149" spans="1:26" s="15" customFormat="1" ht="20.100000000000001" customHeight="1">
      <c r="A149" s="449" t="s">
        <v>40</v>
      </c>
      <c r="B149" s="450"/>
      <c r="C149" s="450"/>
      <c r="D149" s="326">
        <f>D148-D100</f>
        <v>1263850</v>
      </c>
      <c r="E149" s="326">
        <f>E148-E100</f>
        <v>275257</v>
      </c>
      <c r="F149" s="327">
        <f>F148-F100</f>
        <v>27582</v>
      </c>
      <c r="G149" s="328">
        <f>G148-G100</f>
        <v>545779.23529411759</v>
      </c>
      <c r="H149" s="328">
        <f t="shared" ref="H149:T149" si="33">H148-H100</f>
        <v>763714</v>
      </c>
      <c r="I149" s="326">
        <f>I148-I100</f>
        <v>27000</v>
      </c>
      <c r="J149" s="329"/>
      <c r="K149" s="326">
        <f>K148-K100</f>
        <v>0</v>
      </c>
      <c r="L149" s="326">
        <f>L148-L100</f>
        <v>0</v>
      </c>
      <c r="M149" s="326">
        <f>M148-M100</f>
        <v>0</v>
      </c>
      <c r="N149" s="326">
        <f>N148-N100</f>
        <v>0</v>
      </c>
      <c r="O149" s="326">
        <f t="shared" si="33"/>
        <v>0</v>
      </c>
      <c r="P149" s="326">
        <f>P148-P100</f>
        <v>0</v>
      </c>
      <c r="Q149" s="326">
        <f t="shared" si="33"/>
        <v>0</v>
      </c>
      <c r="R149" s="326">
        <f t="shared" si="33"/>
        <v>0</v>
      </c>
      <c r="S149" s="326">
        <f t="shared" si="33"/>
        <v>0</v>
      </c>
      <c r="T149" s="326">
        <f t="shared" si="33"/>
        <v>0</v>
      </c>
      <c r="U149" s="330">
        <f>SUM(D149:T149)</f>
        <v>2903182.2352941176</v>
      </c>
    </row>
    <row r="150" spans="1:26" s="15" customFormat="1" ht="20.100000000000001" customHeight="1" thickBot="1">
      <c r="A150" s="451"/>
      <c r="B150" s="452"/>
      <c r="C150" s="452"/>
      <c r="D150" s="331">
        <f t="shared" ref="D150:I150" si="34">D149/D148</f>
        <v>0.20938767875654021</v>
      </c>
      <c r="E150" s="332">
        <f t="shared" si="34"/>
        <v>0.16687916315789791</v>
      </c>
      <c r="F150" s="333">
        <f t="shared" si="34"/>
        <v>0.1460276786565157</v>
      </c>
      <c r="G150" s="331">
        <f t="shared" si="34"/>
        <v>0.16598987667609666</v>
      </c>
      <c r="H150" s="331">
        <f t="shared" si="34"/>
        <v>0.15477769328921193</v>
      </c>
      <c r="I150" s="331">
        <f t="shared" si="34"/>
        <v>5.272407732864675E-2</v>
      </c>
      <c r="J150" s="331"/>
      <c r="K150" s="331" t="e">
        <f t="shared" ref="K150:T150" si="35">K149/K148</f>
        <v>#DIV/0!</v>
      </c>
      <c r="L150" s="331" t="e">
        <f t="shared" si="35"/>
        <v>#DIV/0!</v>
      </c>
      <c r="M150" s="331" t="e">
        <f t="shared" si="35"/>
        <v>#DIV/0!</v>
      </c>
      <c r="N150" s="331" t="e">
        <f t="shared" si="35"/>
        <v>#DIV/0!</v>
      </c>
      <c r="O150" s="331" t="e">
        <f t="shared" si="35"/>
        <v>#DIV/0!</v>
      </c>
      <c r="P150" s="331" t="e">
        <f t="shared" si="35"/>
        <v>#DIV/0!</v>
      </c>
      <c r="Q150" s="331" t="e">
        <f t="shared" si="35"/>
        <v>#DIV/0!</v>
      </c>
      <c r="R150" s="331" t="e">
        <f t="shared" si="35"/>
        <v>#DIV/0!</v>
      </c>
      <c r="S150" s="331" t="e">
        <f t="shared" si="35"/>
        <v>#DIV/0!</v>
      </c>
      <c r="T150" s="331" t="e">
        <f t="shared" si="35"/>
        <v>#DIV/0!</v>
      </c>
      <c r="U150" s="334">
        <f>U149/U148</f>
        <v>0.17479946101351632</v>
      </c>
    </row>
    <row r="151" spans="1:26" s="15" customFormat="1" ht="20.100000000000001" customHeight="1">
      <c r="A151" s="453" t="s">
        <v>41</v>
      </c>
      <c r="B151" s="455" t="s">
        <v>42</v>
      </c>
      <c r="C151" s="456"/>
      <c r="D151" s="326">
        <f>(D5-D3)+(D11-D9)</f>
        <v>23534.210526315786</v>
      </c>
      <c r="E151" s="328">
        <f t="shared" ref="E151:N151" si="36">(E5-E3)+(E11-E9)</f>
        <v>0</v>
      </c>
      <c r="F151" s="326">
        <f t="shared" si="36"/>
        <v>0</v>
      </c>
      <c r="G151" s="326">
        <f t="shared" si="36"/>
        <v>0</v>
      </c>
      <c r="H151" s="326"/>
      <c r="I151" s="326">
        <f t="shared" si="36"/>
        <v>0</v>
      </c>
      <c r="J151" s="326"/>
      <c r="K151" s="326">
        <f t="shared" si="36"/>
        <v>0</v>
      </c>
      <c r="L151" s="326">
        <f t="shared" si="36"/>
        <v>0</v>
      </c>
      <c r="M151" s="326">
        <f t="shared" si="36"/>
        <v>0</v>
      </c>
      <c r="N151" s="326">
        <f t="shared" si="36"/>
        <v>0</v>
      </c>
      <c r="O151" s="326"/>
      <c r="P151" s="326">
        <f>(P5-P3)+(P11-P9)</f>
        <v>0</v>
      </c>
      <c r="Q151" s="326">
        <f>(Q5-Q3)+(Q11-Q9)</f>
        <v>0</v>
      </c>
      <c r="R151" s="326">
        <f>(R5-R3)+(R11-R9)</f>
        <v>0</v>
      </c>
      <c r="S151" s="326"/>
      <c r="T151" s="326"/>
      <c r="U151" s="335">
        <f>SUM(D151:P151)</f>
        <v>23534.210526315786</v>
      </c>
    </row>
    <row r="152" spans="1:26" s="15" customFormat="1" ht="20.100000000000001" customHeight="1" thickBot="1">
      <c r="A152" s="454"/>
      <c r="B152" s="457" t="s">
        <v>43</v>
      </c>
      <c r="C152" s="458"/>
      <c r="D152" s="331">
        <f>D151/(D11+D5)</f>
        <v>4.9999999999999996E-2</v>
      </c>
      <c r="E152" s="336" t="e">
        <f t="shared" ref="E152:L152" si="37">E151/(E11+E5)</f>
        <v>#DIV/0!</v>
      </c>
      <c r="F152" s="331" t="e">
        <f t="shared" si="37"/>
        <v>#DIV/0!</v>
      </c>
      <c r="G152" s="331" t="e">
        <f t="shared" si="37"/>
        <v>#DIV/0!</v>
      </c>
      <c r="H152" s="331"/>
      <c r="I152" s="331" t="e">
        <f t="shared" si="37"/>
        <v>#DIV/0!</v>
      </c>
      <c r="J152" s="331"/>
      <c r="K152" s="331" t="e">
        <f t="shared" si="37"/>
        <v>#DIV/0!</v>
      </c>
      <c r="L152" s="331" t="e">
        <f t="shared" si="37"/>
        <v>#DIV/0!</v>
      </c>
      <c r="M152" s="331"/>
      <c r="N152" s="331"/>
      <c r="O152" s="331"/>
      <c r="P152" s="331" t="e">
        <f>P151/(P11+P5)</f>
        <v>#DIV/0!</v>
      </c>
      <c r="Q152" s="331" t="e">
        <f>Q151/(Q11+Q5)</f>
        <v>#DIV/0!</v>
      </c>
      <c r="R152" s="331" t="e">
        <f>R151/(R11+R5)</f>
        <v>#DIV/0!</v>
      </c>
      <c r="S152" s="331"/>
      <c r="T152" s="331"/>
      <c r="U152" s="337">
        <f>U151/(U11+U5)</f>
        <v>3.7743732590529239E-2</v>
      </c>
    </row>
    <row r="153" spans="1:26" s="15" customFormat="1" ht="20.100000000000001" hidden="1" customHeight="1">
      <c r="A153" s="459" t="s">
        <v>44</v>
      </c>
      <c r="B153" s="462" t="s">
        <v>45</v>
      </c>
      <c r="C153" s="463"/>
      <c r="D153" s="260">
        <f>D101-D5</f>
        <v>0</v>
      </c>
      <c r="E153" s="259">
        <f t="shared" ref="E153:T153" si="38">E101-E5</f>
        <v>0</v>
      </c>
      <c r="F153" s="260">
        <f t="shared" si="38"/>
        <v>0</v>
      </c>
      <c r="G153" s="260">
        <f t="shared" si="38"/>
        <v>0</v>
      </c>
      <c r="H153" s="260">
        <f t="shared" si="38"/>
        <v>0</v>
      </c>
      <c r="I153" s="260">
        <f t="shared" si="38"/>
        <v>0</v>
      </c>
      <c r="J153" s="260"/>
      <c r="K153" s="260">
        <f t="shared" si="38"/>
        <v>0</v>
      </c>
      <c r="L153" s="260">
        <f t="shared" si="38"/>
        <v>0</v>
      </c>
      <c r="M153" s="260">
        <f t="shared" si="38"/>
        <v>0</v>
      </c>
      <c r="N153" s="260">
        <f t="shared" si="38"/>
        <v>0</v>
      </c>
      <c r="O153" s="260">
        <f t="shared" si="38"/>
        <v>0</v>
      </c>
      <c r="P153" s="260">
        <f t="shared" si="38"/>
        <v>0</v>
      </c>
      <c r="Q153" s="260">
        <f t="shared" si="38"/>
        <v>0</v>
      </c>
      <c r="R153" s="260">
        <f t="shared" si="38"/>
        <v>0</v>
      </c>
      <c r="S153" s="260">
        <f t="shared" si="38"/>
        <v>0</v>
      </c>
      <c r="T153" s="260">
        <f t="shared" si="38"/>
        <v>0</v>
      </c>
      <c r="U153" s="285">
        <f>SUM(D153:Q153)</f>
        <v>0</v>
      </c>
    </row>
    <row r="154" spans="1:26" s="15" customFormat="1" ht="20.100000000000001" hidden="1" customHeight="1">
      <c r="A154" s="460"/>
      <c r="B154" s="432"/>
      <c r="C154" s="433"/>
      <c r="D154" s="115" t="e">
        <f t="shared" ref="D154:T154" si="39">D153/D101</f>
        <v>#DIV/0!</v>
      </c>
      <c r="E154" s="290" t="e">
        <f t="shared" si="39"/>
        <v>#DIV/0!</v>
      </c>
      <c r="F154" s="115" t="e">
        <f t="shared" si="39"/>
        <v>#DIV/0!</v>
      </c>
      <c r="G154" s="115" t="e">
        <f t="shared" si="39"/>
        <v>#DIV/0!</v>
      </c>
      <c r="H154" s="115" t="e">
        <f t="shared" si="39"/>
        <v>#DIV/0!</v>
      </c>
      <c r="I154" s="115" t="e">
        <f t="shared" si="39"/>
        <v>#DIV/0!</v>
      </c>
      <c r="J154" s="115"/>
      <c r="K154" s="115" t="e">
        <f t="shared" si="39"/>
        <v>#DIV/0!</v>
      </c>
      <c r="L154" s="115" t="e">
        <f t="shared" si="39"/>
        <v>#DIV/0!</v>
      </c>
      <c r="M154" s="115" t="e">
        <f t="shared" si="39"/>
        <v>#DIV/0!</v>
      </c>
      <c r="N154" s="115" t="e">
        <f t="shared" si="39"/>
        <v>#DIV/0!</v>
      </c>
      <c r="O154" s="115" t="e">
        <f t="shared" si="39"/>
        <v>#DIV/0!</v>
      </c>
      <c r="P154" s="115" t="e">
        <f t="shared" si="39"/>
        <v>#DIV/0!</v>
      </c>
      <c r="Q154" s="115" t="e">
        <f t="shared" si="39"/>
        <v>#DIV/0!</v>
      </c>
      <c r="R154" s="115" t="e">
        <f t="shared" si="39"/>
        <v>#DIV/0!</v>
      </c>
      <c r="S154" s="115" t="e">
        <f t="shared" si="39"/>
        <v>#DIV/0!</v>
      </c>
      <c r="T154" s="115" t="e">
        <f t="shared" si="39"/>
        <v>#DIV/0!</v>
      </c>
      <c r="U154" s="289" t="e">
        <f>U153/U101</f>
        <v>#DIV/0!</v>
      </c>
    </row>
    <row r="155" spans="1:26" s="15" customFormat="1" ht="20.100000000000001" hidden="1" customHeight="1">
      <c r="A155" s="460"/>
      <c r="B155" s="432" t="s">
        <v>46</v>
      </c>
      <c r="C155" s="433"/>
      <c r="D155" s="291">
        <f>D102-D7</f>
        <v>0</v>
      </c>
      <c r="E155" s="291">
        <f t="shared" ref="E155:T155" si="40">E102-E7</f>
        <v>188364</v>
      </c>
      <c r="F155" s="291">
        <f t="shared" si="40"/>
        <v>3582</v>
      </c>
      <c r="G155" s="291">
        <f t="shared" si="40"/>
        <v>185182</v>
      </c>
      <c r="H155" s="291">
        <f t="shared" si="40"/>
        <v>186873</v>
      </c>
      <c r="I155" s="291">
        <f t="shared" si="40"/>
        <v>0</v>
      </c>
      <c r="J155" s="291"/>
      <c r="K155" s="291">
        <f t="shared" si="40"/>
        <v>0</v>
      </c>
      <c r="L155" s="291">
        <f t="shared" si="40"/>
        <v>0</v>
      </c>
      <c r="M155" s="291">
        <f t="shared" si="40"/>
        <v>0</v>
      </c>
      <c r="N155" s="291">
        <f t="shared" si="40"/>
        <v>0</v>
      </c>
      <c r="O155" s="291">
        <f t="shared" si="40"/>
        <v>0</v>
      </c>
      <c r="P155" s="291">
        <f t="shared" si="40"/>
        <v>0</v>
      </c>
      <c r="Q155" s="291">
        <f t="shared" si="40"/>
        <v>0</v>
      </c>
      <c r="R155" s="291">
        <f t="shared" si="40"/>
        <v>0</v>
      </c>
      <c r="S155" s="291">
        <f t="shared" si="40"/>
        <v>0</v>
      </c>
      <c r="T155" s="291">
        <f t="shared" si="40"/>
        <v>0</v>
      </c>
      <c r="U155" s="75">
        <f>SUM(D155:Q155)</f>
        <v>564001</v>
      </c>
    </row>
    <row r="156" spans="1:26" s="15" customFormat="1" ht="20.100000000000001" hidden="1" customHeight="1">
      <c r="A156" s="460"/>
      <c r="B156" s="432"/>
      <c r="C156" s="433"/>
      <c r="D156" s="115" t="e">
        <f>D155/D102</f>
        <v>#DIV/0!</v>
      </c>
      <c r="E156" s="115">
        <f>E155/E102</f>
        <v>0.18450344981604899</v>
      </c>
      <c r="F156" s="115">
        <f>F155/F102</f>
        <v>0.22988063149788218</v>
      </c>
      <c r="G156" s="115">
        <f t="shared" ref="G156:T156" si="41">G155/G102</f>
        <v>0.18876052197561369</v>
      </c>
      <c r="H156" s="115">
        <f t="shared" si="41"/>
        <v>0.17323378444897858</v>
      </c>
      <c r="I156" s="115" t="e">
        <f t="shared" si="41"/>
        <v>#DIV/0!</v>
      </c>
      <c r="J156" s="115"/>
      <c r="K156" s="115" t="e">
        <f t="shared" si="41"/>
        <v>#DIV/0!</v>
      </c>
      <c r="L156" s="115" t="e">
        <f t="shared" si="41"/>
        <v>#DIV/0!</v>
      </c>
      <c r="M156" s="115" t="e">
        <f t="shared" si="41"/>
        <v>#DIV/0!</v>
      </c>
      <c r="N156" s="115" t="e">
        <f t="shared" si="41"/>
        <v>#DIV/0!</v>
      </c>
      <c r="O156" s="115" t="e">
        <f t="shared" si="41"/>
        <v>#DIV/0!</v>
      </c>
      <c r="P156" s="115" t="e">
        <f t="shared" si="41"/>
        <v>#DIV/0!</v>
      </c>
      <c r="Q156" s="115" t="e">
        <f t="shared" si="41"/>
        <v>#DIV/0!</v>
      </c>
      <c r="R156" s="115" t="e">
        <f t="shared" si="41"/>
        <v>#DIV/0!</v>
      </c>
      <c r="S156" s="115" t="e">
        <f t="shared" si="41"/>
        <v>#DIV/0!</v>
      </c>
      <c r="T156" s="115" t="e">
        <f t="shared" si="41"/>
        <v>#DIV/0!</v>
      </c>
      <c r="U156" s="115">
        <f>U155/U102</f>
        <v>0.18215433289162061</v>
      </c>
    </row>
    <row r="157" spans="1:26" s="15" customFormat="1" ht="20.100000000000001" hidden="1" customHeight="1">
      <c r="A157" s="460"/>
      <c r="B157" s="432" t="s">
        <v>47</v>
      </c>
      <c r="C157" s="433"/>
      <c r="D157" s="75">
        <f>D103-D11</f>
        <v>89979.789473684214</v>
      </c>
      <c r="E157" s="75">
        <f t="shared" ref="E157:T157" si="42">E103-E11</f>
        <v>0</v>
      </c>
      <c r="F157" s="75">
        <f t="shared" si="42"/>
        <v>0</v>
      </c>
      <c r="G157" s="75">
        <f t="shared" si="42"/>
        <v>0</v>
      </c>
      <c r="H157" s="75">
        <f t="shared" si="42"/>
        <v>29869.894736842107</v>
      </c>
      <c r="I157" s="75">
        <f t="shared" si="42"/>
        <v>0</v>
      </c>
      <c r="J157" s="75"/>
      <c r="K157" s="75">
        <f t="shared" si="42"/>
        <v>0</v>
      </c>
      <c r="L157" s="75">
        <f t="shared" si="42"/>
        <v>0</v>
      </c>
      <c r="M157" s="75">
        <f t="shared" si="42"/>
        <v>0</v>
      </c>
      <c r="N157" s="75">
        <f t="shared" si="42"/>
        <v>0</v>
      </c>
      <c r="O157" s="75">
        <f t="shared" si="42"/>
        <v>0</v>
      </c>
      <c r="P157" s="75">
        <f t="shared" si="42"/>
        <v>0</v>
      </c>
      <c r="Q157" s="75">
        <f t="shared" si="42"/>
        <v>0</v>
      </c>
      <c r="R157" s="75">
        <f t="shared" si="42"/>
        <v>0</v>
      </c>
      <c r="S157" s="75">
        <f t="shared" si="42"/>
        <v>0</v>
      </c>
      <c r="T157" s="75">
        <f t="shared" si="42"/>
        <v>0</v>
      </c>
      <c r="U157" s="75">
        <f>SUM(D157:Q157)</f>
        <v>119849.68421052632</v>
      </c>
    </row>
    <row r="158" spans="1:26" s="15" customFormat="1" ht="20.100000000000001" hidden="1" customHeight="1">
      <c r="A158" s="460"/>
      <c r="B158" s="432"/>
      <c r="C158" s="433"/>
      <c r="D158" s="115">
        <f t="shared" ref="D158:T158" si="43">D157/D103</f>
        <v>0.16048790268981816</v>
      </c>
      <c r="E158" s="115" t="e">
        <f t="shared" si="43"/>
        <v>#DIV/0!</v>
      </c>
      <c r="F158" s="115" t="e">
        <f t="shared" si="43"/>
        <v>#DIV/0!</v>
      </c>
      <c r="G158" s="115" t="e">
        <f t="shared" si="43"/>
        <v>#DIV/0!</v>
      </c>
      <c r="H158" s="115">
        <f t="shared" si="43"/>
        <v>0.16348074968716947</v>
      </c>
      <c r="I158" s="115" t="e">
        <f t="shared" si="43"/>
        <v>#DIV/0!</v>
      </c>
      <c r="J158" s="115"/>
      <c r="K158" s="115" t="e">
        <f t="shared" si="43"/>
        <v>#DIV/0!</v>
      </c>
      <c r="L158" s="115" t="e">
        <f t="shared" si="43"/>
        <v>#DIV/0!</v>
      </c>
      <c r="M158" s="115" t="e">
        <f t="shared" si="43"/>
        <v>#DIV/0!</v>
      </c>
      <c r="N158" s="115" t="e">
        <f t="shared" si="43"/>
        <v>#DIV/0!</v>
      </c>
      <c r="O158" s="115" t="e">
        <f t="shared" si="43"/>
        <v>#DIV/0!</v>
      </c>
      <c r="P158" s="115" t="e">
        <f t="shared" si="43"/>
        <v>#DIV/0!</v>
      </c>
      <c r="Q158" s="115" t="e">
        <f t="shared" si="43"/>
        <v>#DIV/0!</v>
      </c>
      <c r="R158" s="115" t="e">
        <f t="shared" si="43"/>
        <v>#DIV/0!</v>
      </c>
      <c r="S158" s="115" t="e">
        <f t="shared" si="43"/>
        <v>#DIV/0!</v>
      </c>
      <c r="T158" s="115" t="e">
        <f t="shared" si="43"/>
        <v>#DIV/0!</v>
      </c>
      <c r="U158" s="115">
        <f>U157/U103</f>
        <v>0.16122350494302523</v>
      </c>
    </row>
    <row r="159" spans="1:26" s="15" customFormat="1" ht="20.100000000000001" hidden="1" customHeight="1">
      <c r="A159" s="460"/>
      <c r="B159" s="432" t="s">
        <v>48</v>
      </c>
      <c r="C159" s="433"/>
      <c r="D159" s="292">
        <f>D104-D13</f>
        <v>0</v>
      </c>
      <c r="E159" s="292">
        <f t="shared" ref="E159:T159" si="44">E104-E13</f>
        <v>0</v>
      </c>
      <c r="F159" s="292">
        <f t="shared" si="44"/>
        <v>0</v>
      </c>
      <c r="G159" s="292">
        <f t="shared" si="44"/>
        <v>0</v>
      </c>
      <c r="H159" s="292">
        <f t="shared" si="44"/>
        <v>0</v>
      </c>
      <c r="I159" s="292">
        <f t="shared" si="44"/>
        <v>0</v>
      </c>
      <c r="J159" s="292"/>
      <c r="K159" s="292">
        <f t="shared" si="44"/>
        <v>0</v>
      </c>
      <c r="L159" s="292">
        <f t="shared" si="44"/>
        <v>0</v>
      </c>
      <c r="M159" s="292">
        <f t="shared" si="44"/>
        <v>0</v>
      </c>
      <c r="N159" s="292">
        <f t="shared" si="44"/>
        <v>0</v>
      </c>
      <c r="O159" s="292">
        <f t="shared" si="44"/>
        <v>0</v>
      </c>
      <c r="P159" s="292">
        <f t="shared" si="44"/>
        <v>0</v>
      </c>
      <c r="Q159" s="292">
        <f t="shared" si="44"/>
        <v>0</v>
      </c>
      <c r="R159" s="292">
        <f t="shared" si="44"/>
        <v>0</v>
      </c>
      <c r="S159" s="292">
        <f t="shared" si="44"/>
        <v>0</v>
      </c>
      <c r="T159" s="292">
        <f t="shared" si="44"/>
        <v>0</v>
      </c>
      <c r="U159" s="73">
        <f>SUM(D159:Q159)</f>
        <v>0</v>
      </c>
    </row>
    <row r="160" spans="1:26" s="15" customFormat="1" ht="20.100000000000001" hidden="1" customHeight="1">
      <c r="A160" s="460"/>
      <c r="B160" s="432"/>
      <c r="C160" s="433"/>
      <c r="D160" s="115" t="e">
        <f t="shared" ref="D160:T160" si="45">D159/D104</f>
        <v>#DIV/0!</v>
      </c>
      <c r="E160" s="115" t="e">
        <f t="shared" si="45"/>
        <v>#DIV/0!</v>
      </c>
      <c r="F160" s="115" t="e">
        <f t="shared" si="45"/>
        <v>#DIV/0!</v>
      </c>
      <c r="G160" s="115" t="e">
        <f t="shared" si="45"/>
        <v>#DIV/0!</v>
      </c>
      <c r="H160" s="115" t="e">
        <f t="shared" si="45"/>
        <v>#DIV/0!</v>
      </c>
      <c r="I160" s="115" t="e">
        <f t="shared" si="45"/>
        <v>#DIV/0!</v>
      </c>
      <c r="J160" s="115"/>
      <c r="K160" s="115" t="e">
        <f t="shared" si="45"/>
        <v>#DIV/0!</v>
      </c>
      <c r="L160" s="115" t="e">
        <f t="shared" si="45"/>
        <v>#DIV/0!</v>
      </c>
      <c r="M160" s="115" t="e">
        <f t="shared" si="45"/>
        <v>#DIV/0!</v>
      </c>
      <c r="N160" s="115" t="e">
        <f t="shared" si="45"/>
        <v>#DIV/0!</v>
      </c>
      <c r="O160" s="115" t="e">
        <f t="shared" si="45"/>
        <v>#DIV/0!</v>
      </c>
      <c r="P160" s="115" t="e">
        <f t="shared" si="45"/>
        <v>#DIV/0!</v>
      </c>
      <c r="Q160" s="115" t="e">
        <f t="shared" si="45"/>
        <v>#DIV/0!</v>
      </c>
      <c r="R160" s="115" t="e">
        <f t="shared" si="45"/>
        <v>#DIV/0!</v>
      </c>
      <c r="S160" s="115" t="e">
        <f t="shared" si="45"/>
        <v>#DIV/0!</v>
      </c>
      <c r="T160" s="115" t="e">
        <f t="shared" si="45"/>
        <v>#DIV/0!</v>
      </c>
      <c r="U160" s="115" t="e">
        <f>U159/U104</f>
        <v>#DIV/0!</v>
      </c>
    </row>
    <row r="161" spans="1:21" s="15" customFormat="1" ht="20.100000000000001" hidden="1" customHeight="1">
      <c r="A161" s="460"/>
      <c r="B161" s="438" t="s">
        <v>12</v>
      </c>
      <c r="C161" s="439"/>
      <c r="D161" s="113">
        <f t="shared" ref="D161:T161" si="46">D105-D15</f>
        <v>0</v>
      </c>
      <c r="E161" s="113">
        <f t="shared" si="46"/>
        <v>0</v>
      </c>
      <c r="F161" s="113">
        <f t="shared" si="46"/>
        <v>0</v>
      </c>
      <c r="G161" s="113">
        <f t="shared" si="46"/>
        <v>0</v>
      </c>
      <c r="H161" s="113">
        <f t="shared" si="46"/>
        <v>0</v>
      </c>
      <c r="I161" s="113">
        <f t="shared" si="46"/>
        <v>0</v>
      </c>
      <c r="J161" s="113"/>
      <c r="K161" s="113">
        <f t="shared" si="46"/>
        <v>0</v>
      </c>
      <c r="L161" s="113">
        <f t="shared" si="46"/>
        <v>0</v>
      </c>
      <c r="M161" s="113">
        <f t="shared" si="46"/>
        <v>0</v>
      </c>
      <c r="N161" s="113">
        <f t="shared" si="46"/>
        <v>0</v>
      </c>
      <c r="O161" s="113">
        <f t="shared" si="46"/>
        <v>0</v>
      </c>
      <c r="P161" s="113">
        <f t="shared" si="46"/>
        <v>0</v>
      </c>
      <c r="Q161" s="113">
        <f t="shared" si="46"/>
        <v>0</v>
      </c>
      <c r="R161" s="113">
        <f t="shared" si="46"/>
        <v>0</v>
      </c>
      <c r="S161" s="113">
        <f t="shared" si="46"/>
        <v>0</v>
      </c>
      <c r="T161" s="113">
        <f t="shared" si="46"/>
        <v>0</v>
      </c>
      <c r="U161" s="75">
        <f>SUM(D161:Q161)</f>
        <v>0</v>
      </c>
    </row>
    <row r="162" spans="1:21" s="15" customFormat="1" ht="20.100000000000001" hidden="1" customHeight="1">
      <c r="A162" s="460"/>
      <c r="B162" s="438"/>
      <c r="C162" s="439"/>
      <c r="D162" s="114" t="e">
        <f>D161/D105</f>
        <v>#DIV/0!</v>
      </c>
      <c r="E162" s="114" t="e">
        <f>E161/E107</f>
        <v>#DIV/0!</v>
      </c>
      <c r="F162" s="114" t="e">
        <f>F161/F105</f>
        <v>#DIV/0!</v>
      </c>
      <c r="G162" s="114" t="e">
        <f t="shared" ref="G162:T162" si="47">G161/G105</f>
        <v>#DIV/0!</v>
      </c>
      <c r="H162" s="114" t="e">
        <f t="shared" si="47"/>
        <v>#DIV/0!</v>
      </c>
      <c r="I162" s="114" t="e">
        <f t="shared" si="47"/>
        <v>#DIV/0!</v>
      </c>
      <c r="J162" s="114"/>
      <c r="K162" s="114" t="e">
        <f t="shared" si="47"/>
        <v>#DIV/0!</v>
      </c>
      <c r="L162" s="114" t="e">
        <f t="shared" si="47"/>
        <v>#DIV/0!</v>
      </c>
      <c r="M162" s="114" t="e">
        <f t="shared" si="47"/>
        <v>#DIV/0!</v>
      </c>
      <c r="N162" s="114" t="e">
        <f t="shared" si="47"/>
        <v>#DIV/0!</v>
      </c>
      <c r="O162" s="114" t="e">
        <f t="shared" si="47"/>
        <v>#DIV/0!</v>
      </c>
      <c r="P162" s="114" t="e">
        <f t="shared" si="47"/>
        <v>#DIV/0!</v>
      </c>
      <c r="Q162" s="114" t="e">
        <f t="shared" si="47"/>
        <v>#DIV/0!</v>
      </c>
      <c r="R162" s="114" t="e">
        <f t="shared" si="47"/>
        <v>#DIV/0!</v>
      </c>
      <c r="S162" s="114" t="e">
        <f t="shared" si="47"/>
        <v>#DIV/0!</v>
      </c>
      <c r="T162" s="114" t="e">
        <f t="shared" si="47"/>
        <v>#DIV/0!</v>
      </c>
      <c r="U162" s="115" t="e">
        <f>U161/U107</f>
        <v>#DIV/0!</v>
      </c>
    </row>
    <row r="163" spans="1:21" s="15" customFormat="1" ht="20.100000000000001" hidden="1" customHeight="1">
      <c r="A163" s="460"/>
      <c r="B163" s="438" t="s">
        <v>49</v>
      </c>
      <c r="C163" s="439"/>
      <c r="D163" s="74">
        <f>D106-D17</f>
        <v>0</v>
      </c>
      <c r="E163" s="74">
        <f t="shared" ref="E163:T163" si="48">E108-E17</f>
        <v>0</v>
      </c>
      <c r="F163" s="74">
        <f t="shared" si="48"/>
        <v>0</v>
      </c>
      <c r="G163" s="74">
        <f t="shared" si="48"/>
        <v>0</v>
      </c>
      <c r="H163" s="74">
        <f t="shared" si="48"/>
        <v>0</v>
      </c>
      <c r="I163" s="74">
        <f t="shared" si="48"/>
        <v>0</v>
      </c>
      <c r="J163" s="74"/>
      <c r="K163" s="74">
        <f t="shared" si="48"/>
        <v>0</v>
      </c>
      <c r="L163" s="74">
        <f t="shared" si="48"/>
        <v>0</v>
      </c>
      <c r="M163" s="74">
        <f t="shared" si="48"/>
        <v>0</v>
      </c>
      <c r="N163" s="74">
        <f t="shared" si="48"/>
        <v>0</v>
      </c>
      <c r="O163" s="74">
        <f t="shared" si="48"/>
        <v>0</v>
      </c>
      <c r="P163" s="74">
        <f t="shared" si="48"/>
        <v>0</v>
      </c>
      <c r="Q163" s="74">
        <f t="shared" si="48"/>
        <v>0</v>
      </c>
      <c r="R163" s="74">
        <f t="shared" si="48"/>
        <v>0</v>
      </c>
      <c r="S163" s="74">
        <f t="shared" si="48"/>
        <v>0</v>
      </c>
      <c r="T163" s="74">
        <f t="shared" si="48"/>
        <v>0</v>
      </c>
      <c r="U163" s="75">
        <f>SUM(D163:T163)</f>
        <v>0</v>
      </c>
    </row>
    <row r="164" spans="1:21" s="15" customFormat="1" ht="20.100000000000001" hidden="1" customHeight="1">
      <c r="A164" s="460"/>
      <c r="B164" s="438"/>
      <c r="C164" s="439"/>
      <c r="D164" s="114" t="e">
        <f>D163/D106</f>
        <v>#DIV/0!</v>
      </c>
      <c r="E164" s="114" t="e">
        <f t="shared" ref="E164:T164" si="49">E163/E108</f>
        <v>#DIV/0!</v>
      </c>
      <c r="F164" s="114" t="e">
        <f t="shared" si="49"/>
        <v>#DIV/0!</v>
      </c>
      <c r="G164" s="114" t="e">
        <f t="shared" si="49"/>
        <v>#DIV/0!</v>
      </c>
      <c r="H164" s="114" t="e">
        <f t="shared" si="49"/>
        <v>#DIV/0!</v>
      </c>
      <c r="I164" s="114" t="e">
        <f t="shared" si="49"/>
        <v>#DIV/0!</v>
      </c>
      <c r="J164" s="114"/>
      <c r="K164" s="114" t="e">
        <f t="shared" si="49"/>
        <v>#DIV/0!</v>
      </c>
      <c r="L164" s="114" t="e">
        <f t="shared" si="49"/>
        <v>#DIV/0!</v>
      </c>
      <c r="M164" s="114" t="e">
        <f t="shared" si="49"/>
        <v>#DIV/0!</v>
      </c>
      <c r="N164" s="114" t="e">
        <f t="shared" si="49"/>
        <v>#DIV/0!</v>
      </c>
      <c r="O164" s="114" t="e">
        <f t="shared" si="49"/>
        <v>#DIV/0!</v>
      </c>
      <c r="P164" s="114" t="e">
        <f t="shared" si="49"/>
        <v>#DIV/0!</v>
      </c>
      <c r="Q164" s="114" t="e">
        <f t="shared" si="49"/>
        <v>#DIV/0!</v>
      </c>
      <c r="R164" s="114" t="e">
        <f t="shared" si="49"/>
        <v>#DIV/0!</v>
      </c>
      <c r="S164" s="114" t="e">
        <f t="shared" si="49"/>
        <v>#DIV/0!</v>
      </c>
      <c r="T164" s="114" t="e">
        <f t="shared" si="49"/>
        <v>#DIV/0!</v>
      </c>
      <c r="U164" s="115" t="e">
        <f>U163/U108</f>
        <v>#DIV/0!</v>
      </c>
    </row>
    <row r="165" spans="1:21" s="15" customFormat="1" ht="20.100000000000001" hidden="1" customHeight="1">
      <c r="A165" s="460"/>
      <c r="B165" s="438" t="s">
        <v>32</v>
      </c>
      <c r="C165" s="439"/>
      <c r="D165" s="75">
        <f t="shared" ref="D165:T165" si="50">D107-D19</f>
        <v>0</v>
      </c>
      <c r="E165" s="75">
        <f t="shared" si="50"/>
        <v>0</v>
      </c>
      <c r="F165" s="75">
        <f t="shared" si="50"/>
        <v>0</v>
      </c>
      <c r="G165" s="75">
        <f t="shared" si="50"/>
        <v>0</v>
      </c>
      <c r="H165" s="75">
        <f t="shared" si="50"/>
        <v>0</v>
      </c>
      <c r="I165" s="75">
        <f t="shared" si="50"/>
        <v>0</v>
      </c>
      <c r="J165" s="75"/>
      <c r="K165" s="75">
        <f t="shared" si="50"/>
        <v>0</v>
      </c>
      <c r="L165" s="75">
        <f t="shared" si="50"/>
        <v>0</v>
      </c>
      <c r="M165" s="75">
        <f t="shared" si="50"/>
        <v>0</v>
      </c>
      <c r="N165" s="75">
        <f t="shared" si="50"/>
        <v>0</v>
      </c>
      <c r="O165" s="75">
        <f t="shared" si="50"/>
        <v>0</v>
      </c>
      <c r="P165" s="75">
        <f t="shared" si="50"/>
        <v>0</v>
      </c>
      <c r="Q165" s="75">
        <f t="shared" si="50"/>
        <v>0</v>
      </c>
      <c r="R165" s="75">
        <f t="shared" si="50"/>
        <v>0</v>
      </c>
      <c r="S165" s="75">
        <f t="shared" si="50"/>
        <v>0</v>
      </c>
      <c r="T165" s="75">
        <f t="shared" si="50"/>
        <v>0</v>
      </c>
      <c r="U165" s="75">
        <f>SUM(D165:Q165)</f>
        <v>0</v>
      </c>
    </row>
    <row r="166" spans="1:21" s="15" customFormat="1" ht="20.100000000000001" hidden="1" customHeight="1">
      <c r="A166" s="460"/>
      <c r="B166" s="438"/>
      <c r="C166" s="439"/>
      <c r="D166" s="115" t="e">
        <f>D165/D107</f>
        <v>#DIV/0!</v>
      </c>
      <c r="E166" s="115" t="e">
        <f>E165/E107</f>
        <v>#DIV/0!</v>
      </c>
      <c r="F166" s="115" t="e">
        <f>F165/F107</f>
        <v>#DIV/0!</v>
      </c>
      <c r="G166" s="115" t="e">
        <f t="shared" ref="G166:T166" si="51">G165/G107</f>
        <v>#DIV/0!</v>
      </c>
      <c r="H166" s="115" t="e">
        <f t="shared" si="51"/>
        <v>#DIV/0!</v>
      </c>
      <c r="I166" s="115" t="e">
        <f t="shared" si="51"/>
        <v>#DIV/0!</v>
      </c>
      <c r="J166" s="115"/>
      <c r="K166" s="115" t="e">
        <f t="shared" si="51"/>
        <v>#DIV/0!</v>
      </c>
      <c r="L166" s="115" t="e">
        <f t="shared" si="51"/>
        <v>#DIV/0!</v>
      </c>
      <c r="M166" s="115" t="e">
        <f t="shared" si="51"/>
        <v>#DIV/0!</v>
      </c>
      <c r="N166" s="115" t="e">
        <f t="shared" si="51"/>
        <v>#DIV/0!</v>
      </c>
      <c r="O166" s="115" t="e">
        <f t="shared" si="51"/>
        <v>#DIV/0!</v>
      </c>
      <c r="P166" s="115" t="e">
        <f t="shared" si="51"/>
        <v>#DIV/0!</v>
      </c>
      <c r="Q166" s="115" t="e">
        <f t="shared" si="51"/>
        <v>#DIV/0!</v>
      </c>
      <c r="R166" s="115" t="e">
        <f t="shared" si="51"/>
        <v>#DIV/0!</v>
      </c>
      <c r="S166" s="115" t="e">
        <f t="shared" si="51"/>
        <v>#DIV/0!</v>
      </c>
      <c r="T166" s="115" t="e">
        <f t="shared" si="51"/>
        <v>#DIV/0!</v>
      </c>
      <c r="U166" s="115" t="e">
        <f>U165/U109</f>
        <v>#DIV/0!</v>
      </c>
    </row>
    <row r="167" spans="1:21" s="15" customFormat="1" ht="20.100000000000001" hidden="1" customHeight="1">
      <c r="A167" s="460"/>
      <c r="B167" s="418" t="s">
        <v>15</v>
      </c>
      <c r="C167" s="440"/>
      <c r="D167" s="113"/>
      <c r="E167" s="113">
        <f>E110-E21</f>
        <v>0</v>
      </c>
      <c r="F167" s="113">
        <f>F108-F21</f>
        <v>0</v>
      </c>
      <c r="G167" s="113">
        <f t="shared" ref="G167:T167" si="52">G108-G21</f>
        <v>0</v>
      </c>
      <c r="H167" s="113">
        <f t="shared" si="52"/>
        <v>0</v>
      </c>
      <c r="I167" s="113">
        <f t="shared" si="52"/>
        <v>0</v>
      </c>
      <c r="J167" s="113"/>
      <c r="K167" s="113">
        <f t="shared" si="52"/>
        <v>0</v>
      </c>
      <c r="L167" s="113">
        <f t="shared" si="52"/>
        <v>0</v>
      </c>
      <c r="M167" s="113">
        <f t="shared" si="52"/>
        <v>0</v>
      </c>
      <c r="N167" s="113">
        <f t="shared" si="52"/>
        <v>0</v>
      </c>
      <c r="O167" s="113">
        <f t="shared" si="52"/>
        <v>0</v>
      </c>
      <c r="P167" s="113">
        <f t="shared" si="52"/>
        <v>0</v>
      </c>
      <c r="Q167" s="113">
        <f t="shared" si="52"/>
        <v>0</v>
      </c>
      <c r="R167" s="113">
        <f t="shared" si="52"/>
        <v>0</v>
      </c>
      <c r="S167" s="113">
        <f t="shared" si="52"/>
        <v>0</v>
      </c>
      <c r="T167" s="113">
        <f t="shared" si="52"/>
        <v>0</v>
      </c>
      <c r="U167" s="75">
        <f>SUM(D167:T167)</f>
        <v>0</v>
      </c>
    </row>
    <row r="168" spans="1:21" s="15" customFormat="1" ht="20.100000000000001" hidden="1" customHeight="1">
      <c r="A168" s="460"/>
      <c r="B168" s="420"/>
      <c r="C168" s="441"/>
      <c r="D168" s="114"/>
      <c r="E168" s="114" t="e">
        <f>E167/E110</f>
        <v>#DIV/0!</v>
      </c>
      <c r="F168" s="114" t="e">
        <f>F167/F108</f>
        <v>#DIV/0!</v>
      </c>
      <c r="G168" s="114" t="e">
        <f t="shared" ref="G168:T168" si="53">G167/G108</f>
        <v>#DIV/0!</v>
      </c>
      <c r="H168" s="114" t="e">
        <f t="shared" si="53"/>
        <v>#DIV/0!</v>
      </c>
      <c r="I168" s="114" t="e">
        <f t="shared" si="53"/>
        <v>#DIV/0!</v>
      </c>
      <c r="J168" s="114"/>
      <c r="K168" s="114" t="e">
        <f t="shared" si="53"/>
        <v>#DIV/0!</v>
      </c>
      <c r="L168" s="114" t="e">
        <f t="shared" si="53"/>
        <v>#DIV/0!</v>
      </c>
      <c r="M168" s="114" t="e">
        <f t="shared" si="53"/>
        <v>#DIV/0!</v>
      </c>
      <c r="N168" s="114" t="e">
        <f t="shared" si="53"/>
        <v>#DIV/0!</v>
      </c>
      <c r="O168" s="114" t="e">
        <f t="shared" si="53"/>
        <v>#DIV/0!</v>
      </c>
      <c r="P168" s="114" t="e">
        <f t="shared" si="53"/>
        <v>#DIV/0!</v>
      </c>
      <c r="Q168" s="114" t="e">
        <f t="shared" si="53"/>
        <v>#DIV/0!</v>
      </c>
      <c r="R168" s="114" t="e">
        <f t="shared" si="53"/>
        <v>#DIV/0!</v>
      </c>
      <c r="S168" s="114" t="e">
        <f t="shared" si="53"/>
        <v>#DIV/0!</v>
      </c>
      <c r="T168" s="114" t="e">
        <f t="shared" si="53"/>
        <v>#DIV/0!</v>
      </c>
      <c r="U168" s="115" t="e">
        <f>U167/U110</f>
        <v>#DIV/0!</v>
      </c>
    </row>
    <row r="169" spans="1:21" s="15" customFormat="1" ht="20.100000000000001" hidden="1" customHeight="1">
      <c r="A169" s="460"/>
      <c r="B169" s="418" t="s">
        <v>50</v>
      </c>
      <c r="C169" s="440"/>
      <c r="D169" s="113"/>
      <c r="E169" s="113">
        <f>E111-E23</f>
        <v>0</v>
      </c>
      <c r="F169" s="113">
        <f>F109-F23</f>
        <v>0</v>
      </c>
      <c r="G169" s="113">
        <f t="shared" ref="G169:T169" si="54">G109-G23</f>
        <v>0</v>
      </c>
      <c r="H169" s="113">
        <f t="shared" si="54"/>
        <v>0</v>
      </c>
      <c r="I169" s="113">
        <f t="shared" si="54"/>
        <v>0</v>
      </c>
      <c r="J169" s="113"/>
      <c r="K169" s="113">
        <f t="shared" si="54"/>
        <v>0</v>
      </c>
      <c r="L169" s="113">
        <f t="shared" si="54"/>
        <v>0</v>
      </c>
      <c r="M169" s="113">
        <f t="shared" si="54"/>
        <v>0</v>
      </c>
      <c r="N169" s="113">
        <f t="shared" si="54"/>
        <v>0</v>
      </c>
      <c r="O169" s="113">
        <f t="shared" si="54"/>
        <v>0</v>
      </c>
      <c r="P169" s="113">
        <f t="shared" si="54"/>
        <v>0</v>
      </c>
      <c r="Q169" s="113">
        <f t="shared" si="54"/>
        <v>0</v>
      </c>
      <c r="R169" s="113">
        <f t="shared" si="54"/>
        <v>0</v>
      </c>
      <c r="S169" s="113">
        <f t="shared" si="54"/>
        <v>0</v>
      </c>
      <c r="T169" s="113">
        <f t="shared" si="54"/>
        <v>0</v>
      </c>
      <c r="U169" s="75">
        <f>SUM(D169:Q169)</f>
        <v>0</v>
      </c>
    </row>
    <row r="170" spans="1:21" s="15" customFormat="1" ht="20.100000000000001" hidden="1" customHeight="1">
      <c r="A170" s="460"/>
      <c r="B170" s="420"/>
      <c r="C170" s="441"/>
      <c r="D170" s="114">
        <f>D169/D119</f>
        <v>0</v>
      </c>
      <c r="E170" s="114" t="e">
        <f>E169/E111</f>
        <v>#DIV/0!</v>
      </c>
      <c r="F170" s="114" t="e">
        <f>F169/F109</f>
        <v>#DIV/0!</v>
      </c>
      <c r="G170" s="114" t="e">
        <f t="shared" ref="G170:T170" si="55">G169/G109</f>
        <v>#DIV/0!</v>
      </c>
      <c r="H170" s="114" t="e">
        <f t="shared" si="55"/>
        <v>#DIV/0!</v>
      </c>
      <c r="I170" s="114" t="e">
        <f t="shared" si="55"/>
        <v>#DIV/0!</v>
      </c>
      <c r="J170" s="114"/>
      <c r="K170" s="114" t="e">
        <f t="shared" si="55"/>
        <v>#DIV/0!</v>
      </c>
      <c r="L170" s="114" t="e">
        <f t="shared" si="55"/>
        <v>#DIV/0!</v>
      </c>
      <c r="M170" s="114" t="e">
        <f t="shared" si="55"/>
        <v>#DIV/0!</v>
      </c>
      <c r="N170" s="114" t="e">
        <f t="shared" si="55"/>
        <v>#DIV/0!</v>
      </c>
      <c r="O170" s="114" t="e">
        <f t="shared" si="55"/>
        <v>#DIV/0!</v>
      </c>
      <c r="P170" s="114" t="e">
        <f t="shared" si="55"/>
        <v>#DIV/0!</v>
      </c>
      <c r="Q170" s="114" t="e">
        <f t="shared" si="55"/>
        <v>#DIV/0!</v>
      </c>
      <c r="R170" s="114" t="e">
        <f t="shared" si="55"/>
        <v>#DIV/0!</v>
      </c>
      <c r="S170" s="114" t="e">
        <f t="shared" si="55"/>
        <v>#DIV/0!</v>
      </c>
      <c r="T170" s="114" t="e">
        <f t="shared" si="55"/>
        <v>#DIV/0!</v>
      </c>
      <c r="U170" s="115" t="e">
        <f>U169/U111</f>
        <v>#DIV/0!</v>
      </c>
    </row>
    <row r="171" spans="1:21" s="15" customFormat="1" ht="20.100000000000001" hidden="1" customHeight="1">
      <c r="A171" s="460"/>
      <c r="B171" s="416" t="s">
        <v>51</v>
      </c>
      <c r="C171" s="116"/>
      <c r="D171" s="113">
        <f>D110-D25</f>
        <v>0</v>
      </c>
      <c r="E171" s="113">
        <f>E112-E25</f>
        <v>0</v>
      </c>
      <c r="F171" s="113">
        <f>F110-F25</f>
        <v>0</v>
      </c>
      <c r="G171" s="113">
        <f t="shared" ref="G171:T171" si="56">G110-G25</f>
        <v>0</v>
      </c>
      <c r="H171" s="113">
        <f t="shared" si="56"/>
        <v>0</v>
      </c>
      <c r="I171" s="113">
        <f t="shared" si="56"/>
        <v>0</v>
      </c>
      <c r="J171" s="113"/>
      <c r="K171" s="113">
        <f t="shared" si="56"/>
        <v>0</v>
      </c>
      <c r="L171" s="113">
        <f t="shared" si="56"/>
        <v>0</v>
      </c>
      <c r="M171" s="113">
        <f t="shared" si="56"/>
        <v>0</v>
      </c>
      <c r="N171" s="113">
        <f t="shared" si="56"/>
        <v>0</v>
      </c>
      <c r="O171" s="113">
        <f t="shared" si="56"/>
        <v>0</v>
      </c>
      <c r="P171" s="113">
        <f t="shared" si="56"/>
        <v>0</v>
      </c>
      <c r="Q171" s="113">
        <f t="shared" si="56"/>
        <v>0</v>
      </c>
      <c r="R171" s="113">
        <f t="shared" si="56"/>
        <v>0</v>
      </c>
      <c r="S171" s="113">
        <f t="shared" si="56"/>
        <v>0</v>
      </c>
      <c r="T171" s="113">
        <f t="shared" si="56"/>
        <v>0</v>
      </c>
      <c r="U171" s="292">
        <f>SUM(D171:Q171)</f>
        <v>0</v>
      </c>
    </row>
    <row r="172" spans="1:21" s="15" customFormat="1" ht="20.100000000000001" hidden="1" customHeight="1">
      <c r="A172" s="460"/>
      <c r="B172" s="417"/>
      <c r="C172" s="116"/>
      <c r="D172" s="114" t="e">
        <f>D171/D110</f>
        <v>#DIV/0!</v>
      </c>
      <c r="E172" s="114" t="e">
        <f>E171/E112</f>
        <v>#DIV/0!</v>
      </c>
      <c r="F172" s="114" t="e">
        <f>F171/F110</f>
        <v>#DIV/0!</v>
      </c>
      <c r="G172" s="114" t="e">
        <f t="shared" ref="G172:T172" si="57">G171/G110</f>
        <v>#DIV/0!</v>
      </c>
      <c r="H172" s="114" t="e">
        <f t="shared" si="57"/>
        <v>#DIV/0!</v>
      </c>
      <c r="I172" s="114" t="e">
        <f t="shared" si="57"/>
        <v>#DIV/0!</v>
      </c>
      <c r="J172" s="114"/>
      <c r="K172" s="114" t="e">
        <f t="shared" si="57"/>
        <v>#DIV/0!</v>
      </c>
      <c r="L172" s="114" t="e">
        <f t="shared" si="57"/>
        <v>#DIV/0!</v>
      </c>
      <c r="M172" s="114" t="e">
        <f t="shared" si="57"/>
        <v>#DIV/0!</v>
      </c>
      <c r="N172" s="114" t="e">
        <f t="shared" si="57"/>
        <v>#DIV/0!</v>
      </c>
      <c r="O172" s="114" t="e">
        <f t="shared" si="57"/>
        <v>#DIV/0!</v>
      </c>
      <c r="P172" s="114" t="e">
        <f t="shared" si="57"/>
        <v>#DIV/0!</v>
      </c>
      <c r="Q172" s="114" t="e">
        <f t="shared" si="57"/>
        <v>#DIV/0!</v>
      </c>
      <c r="R172" s="114" t="e">
        <f t="shared" si="57"/>
        <v>#DIV/0!</v>
      </c>
      <c r="S172" s="114" t="e">
        <f t="shared" si="57"/>
        <v>#DIV/0!</v>
      </c>
      <c r="T172" s="114" t="e">
        <f t="shared" si="57"/>
        <v>#DIV/0!</v>
      </c>
      <c r="U172" s="115" t="e">
        <f>U171/U112</f>
        <v>#DIV/0!</v>
      </c>
    </row>
    <row r="173" spans="1:21" s="15" customFormat="1" ht="20.100000000000001" hidden="1" customHeight="1">
      <c r="A173" s="460"/>
      <c r="B173" s="418" t="s">
        <v>52</v>
      </c>
      <c r="C173" s="440"/>
      <c r="D173" s="113">
        <f t="shared" ref="D173:T173" si="58">D111-D27</f>
        <v>0</v>
      </c>
      <c r="E173" s="113">
        <f t="shared" si="58"/>
        <v>0</v>
      </c>
      <c r="F173" s="113">
        <f t="shared" si="58"/>
        <v>0</v>
      </c>
      <c r="G173" s="113">
        <f t="shared" si="58"/>
        <v>0</v>
      </c>
      <c r="H173" s="113">
        <f t="shared" si="58"/>
        <v>0</v>
      </c>
      <c r="I173" s="113">
        <f t="shared" si="58"/>
        <v>0</v>
      </c>
      <c r="J173" s="113"/>
      <c r="K173" s="113">
        <f t="shared" si="58"/>
        <v>0</v>
      </c>
      <c r="L173" s="113">
        <f t="shared" si="58"/>
        <v>0</v>
      </c>
      <c r="M173" s="113">
        <f t="shared" si="58"/>
        <v>0</v>
      </c>
      <c r="N173" s="113">
        <f t="shared" si="58"/>
        <v>0</v>
      </c>
      <c r="O173" s="113">
        <f t="shared" si="58"/>
        <v>0</v>
      </c>
      <c r="P173" s="113">
        <f t="shared" si="58"/>
        <v>0</v>
      </c>
      <c r="Q173" s="113">
        <f t="shared" si="58"/>
        <v>0</v>
      </c>
      <c r="R173" s="113">
        <f t="shared" si="58"/>
        <v>0</v>
      </c>
      <c r="S173" s="113">
        <f t="shared" si="58"/>
        <v>0</v>
      </c>
      <c r="T173" s="113">
        <f t="shared" si="58"/>
        <v>0</v>
      </c>
      <c r="U173" s="75">
        <f>SUM(D173:Q173)</f>
        <v>0</v>
      </c>
    </row>
    <row r="174" spans="1:21" s="15" customFormat="1" ht="20.100000000000001" hidden="1" customHeight="1">
      <c r="A174" s="460"/>
      <c r="B174" s="420"/>
      <c r="C174" s="441"/>
      <c r="D174" s="114" t="e">
        <f t="shared" ref="D174:T174" si="59">D173/D111</f>
        <v>#DIV/0!</v>
      </c>
      <c r="E174" s="114" t="e">
        <f t="shared" si="59"/>
        <v>#DIV/0!</v>
      </c>
      <c r="F174" s="114" t="e">
        <f t="shared" si="59"/>
        <v>#DIV/0!</v>
      </c>
      <c r="G174" s="114" t="e">
        <f t="shared" si="59"/>
        <v>#DIV/0!</v>
      </c>
      <c r="H174" s="114" t="e">
        <f t="shared" si="59"/>
        <v>#DIV/0!</v>
      </c>
      <c r="I174" s="114" t="e">
        <f t="shared" si="59"/>
        <v>#DIV/0!</v>
      </c>
      <c r="J174" s="114"/>
      <c r="K174" s="114" t="e">
        <f t="shared" si="59"/>
        <v>#DIV/0!</v>
      </c>
      <c r="L174" s="114" t="e">
        <f t="shared" si="59"/>
        <v>#DIV/0!</v>
      </c>
      <c r="M174" s="114" t="e">
        <f t="shared" si="59"/>
        <v>#DIV/0!</v>
      </c>
      <c r="N174" s="114" t="e">
        <f t="shared" si="59"/>
        <v>#DIV/0!</v>
      </c>
      <c r="O174" s="114" t="e">
        <f t="shared" si="59"/>
        <v>#DIV/0!</v>
      </c>
      <c r="P174" s="114" t="e">
        <f t="shared" si="59"/>
        <v>#DIV/0!</v>
      </c>
      <c r="Q174" s="114" t="e">
        <f t="shared" si="59"/>
        <v>#DIV/0!</v>
      </c>
      <c r="R174" s="114" t="e">
        <f t="shared" si="59"/>
        <v>#DIV/0!</v>
      </c>
      <c r="S174" s="114" t="e">
        <f t="shared" si="59"/>
        <v>#DIV/0!</v>
      </c>
      <c r="T174" s="114" t="e">
        <f t="shared" si="59"/>
        <v>#DIV/0!</v>
      </c>
      <c r="U174" s="115" t="e">
        <f>U173/U113</f>
        <v>#DIV/0!</v>
      </c>
    </row>
    <row r="175" spans="1:21" s="15" customFormat="1" ht="20.100000000000001" hidden="1" customHeight="1">
      <c r="A175" s="460"/>
      <c r="B175" s="416" t="s">
        <v>33</v>
      </c>
      <c r="C175" s="436"/>
      <c r="D175" s="113">
        <f t="shared" ref="D175:T175" si="60">D112-D29</f>
        <v>0</v>
      </c>
      <c r="E175" s="113">
        <f t="shared" si="60"/>
        <v>0</v>
      </c>
      <c r="F175" s="113">
        <f t="shared" si="60"/>
        <v>0</v>
      </c>
      <c r="G175" s="113">
        <f t="shared" si="60"/>
        <v>0</v>
      </c>
      <c r="H175" s="113">
        <f t="shared" si="60"/>
        <v>0</v>
      </c>
      <c r="I175" s="113">
        <f t="shared" si="60"/>
        <v>0</v>
      </c>
      <c r="J175" s="113"/>
      <c r="K175" s="113">
        <f t="shared" si="60"/>
        <v>0</v>
      </c>
      <c r="L175" s="113">
        <f t="shared" si="60"/>
        <v>0</v>
      </c>
      <c r="M175" s="113">
        <f t="shared" si="60"/>
        <v>0</v>
      </c>
      <c r="N175" s="113">
        <f t="shared" si="60"/>
        <v>0</v>
      </c>
      <c r="O175" s="113">
        <f t="shared" si="60"/>
        <v>0</v>
      </c>
      <c r="P175" s="113">
        <f t="shared" si="60"/>
        <v>0</v>
      </c>
      <c r="Q175" s="113">
        <f t="shared" si="60"/>
        <v>0</v>
      </c>
      <c r="R175" s="113">
        <f t="shared" si="60"/>
        <v>0</v>
      </c>
      <c r="S175" s="113">
        <f t="shared" si="60"/>
        <v>0</v>
      </c>
      <c r="T175" s="113">
        <f t="shared" si="60"/>
        <v>0</v>
      </c>
      <c r="U175" s="73">
        <f>SUM(D175:Q175)</f>
        <v>0</v>
      </c>
    </row>
    <row r="176" spans="1:21" s="15" customFormat="1" ht="20.100000000000001" hidden="1" customHeight="1">
      <c r="A176" s="460"/>
      <c r="B176" s="417"/>
      <c r="C176" s="437"/>
      <c r="D176" s="114" t="e">
        <f t="shared" ref="D176:T176" si="61">D175/D112</f>
        <v>#DIV/0!</v>
      </c>
      <c r="E176" s="114" t="e">
        <f t="shared" si="61"/>
        <v>#DIV/0!</v>
      </c>
      <c r="F176" s="114" t="e">
        <f t="shared" si="61"/>
        <v>#DIV/0!</v>
      </c>
      <c r="G176" s="114" t="e">
        <f t="shared" si="61"/>
        <v>#DIV/0!</v>
      </c>
      <c r="H176" s="114" t="e">
        <f t="shared" si="61"/>
        <v>#DIV/0!</v>
      </c>
      <c r="I176" s="114" t="e">
        <f t="shared" si="61"/>
        <v>#DIV/0!</v>
      </c>
      <c r="J176" s="114"/>
      <c r="K176" s="114" t="e">
        <f t="shared" si="61"/>
        <v>#DIV/0!</v>
      </c>
      <c r="L176" s="114" t="e">
        <f t="shared" si="61"/>
        <v>#DIV/0!</v>
      </c>
      <c r="M176" s="114" t="e">
        <f t="shared" si="61"/>
        <v>#DIV/0!</v>
      </c>
      <c r="N176" s="114" t="e">
        <f t="shared" si="61"/>
        <v>#DIV/0!</v>
      </c>
      <c r="O176" s="114" t="e">
        <f t="shared" si="61"/>
        <v>#DIV/0!</v>
      </c>
      <c r="P176" s="114" t="e">
        <f t="shared" si="61"/>
        <v>#DIV/0!</v>
      </c>
      <c r="Q176" s="114" t="e">
        <f t="shared" si="61"/>
        <v>#DIV/0!</v>
      </c>
      <c r="R176" s="114" t="e">
        <f t="shared" si="61"/>
        <v>#DIV/0!</v>
      </c>
      <c r="S176" s="114" t="e">
        <f t="shared" si="61"/>
        <v>#DIV/0!</v>
      </c>
      <c r="T176" s="114" t="e">
        <f t="shared" si="61"/>
        <v>#DIV/0!</v>
      </c>
      <c r="U176" s="115" t="e">
        <f>U175/U114</f>
        <v>#DIV/0!</v>
      </c>
    </row>
    <row r="177" spans="1:26" s="15" customFormat="1" ht="20.100000000000001" hidden="1" customHeight="1">
      <c r="A177" s="460"/>
      <c r="B177" s="416" t="s">
        <v>21</v>
      </c>
      <c r="C177" s="116"/>
      <c r="D177" s="113">
        <f>D114-D33</f>
        <v>0</v>
      </c>
      <c r="E177" s="113">
        <f t="shared" ref="E177:T177" si="62">E115-E37</f>
        <v>0</v>
      </c>
      <c r="F177" s="113">
        <f t="shared" si="62"/>
        <v>0</v>
      </c>
      <c r="G177" s="113">
        <f t="shared" si="62"/>
        <v>0</v>
      </c>
      <c r="H177" s="113">
        <f t="shared" si="62"/>
        <v>0</v>
      </c>
      <c r="I177" s="113">
        <f t="shared" si="62"/>
        <v>0</v>
      </c>
      <c r="J177" s="113"/>
      <c r="K177" s="113">
        <f t="shared" si="62"/>
        <v>0</v>
      </c>
      <c r="L177" s="113">
        <f t="shared" si="62"/>
        <v>0</v>
      </c>
      <c r="M177" s="113">
        <f t="shared" si="62"/>
        <v>0</v>
      </c>
      <c r="N177" s="113">
        <f t="shared" si="62"/>
        <v>0</v>
      </c>
      <c r="O177" s="113">
        <f t="shared" si="62"/>
        <v>0</v>
      </c>
      <c r="P177" s="113">
        <f t="shared" si="62"/>
        <v>0</v>
      </c>
      <c r="Q177" s="113">
        <f t="shared" si="62"/>
        <v>0</v>
      </c>
      <c r="R177" s="113">
        <f t="shared" si="62"/>
        <v>0</v>
      </c>
      <c r="S177" s="113">
        <f t="shared" si="62"/>
        <v>0</v>
      </c>
      <c r="T177" s="113">
        <f t="shared" si="62"/>
        <v>0</v>
      </c>
      <c r="U177" s="294" t="e">
        <f>SUM(#REF!)</f>
        <v>#REF!</v>
      </c>
    </row>
    <row r="178" spans="1:26" s="15" customFormat="1" ht="20.100000000000001" hidden="1" customHeight="1">
      <c r="A178" s="460"/>
      <c r="B178" s="417"/>
      <c r="C178" s="116"/>
      <c r="D178" s="114" t="e">
        <f>D177/D114</f>
        <v>#DIV/0!</v>
      </c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5" t="e">
        <f>U177/U115</f>
        <v>#REF!</v>
      </c>
    </row>
    <row r="179" spans="1:26" s="15" customFormat="1" ht="20.100000000000001" hidden="1" customHeight="1">
      <c r="A179" s="460"/>
      <c r="B179" s="416" t="s">
        <v>22</v>
      </c>
      <c r="C179" s="436"/>
      <c r="D179" s="113"/>
      <c r="E179" s="113">
        <f>E116-E39</f>
        <v>-81000</v>
      </c>
      <c r="F179" s="113">
        <f>F115-F35</f>
        <v>0</v>
      </c>
      <c r="G179" s="113">
        <f t="shared" ref="G179:T179" si="63">G115-G35</f>
        <v>0</v>
      </c>
      <c r="H179" s="113">
        <f t="shared" si="63"/>
        <v>0</v>
      </c>
      <c r="I179" s="113">
        <f t="shared" si="63"/>
        <v>0</v>
      </c>
      <c r="J179" s="113"/>
      <c r="K179" s="113">
        <f t="shared" si="63"/>
        <v>0</v>
      </c>
      <c r="L179" s="113">
        <f t="shared" si="63"/>
        <v>0</v>
      </c>
      <c r="M179" s="113">
        <f t="shared" si="63"/>
        <v>0</v>
      </c>
      <c r="N179" s="113">
        <f t="shared" si="63"/>
        <v>0</v>
      </c>
      <c r="O179" s="113">
        <f t="shared" si="63"/>
        <v>0</v>
      </c>
      <c r="P179" s="113">
        <f t="shared" si="63"/>
        <v>0</v>
      </c>
      <c r="Q179" s="113">
        <f t="shared" si="63"/>
        <v>0</v>
      </c>
      <c r="R179" s="113">
        <f t="shared" si="63"/>
        <v>0</v>
      </c>
      <c r="S179" s="113">
        <f t="shared" si="63"/>
        <v>0</v>
      </c>
      <c r="T179" s="113">
        <f t="shared" si="63"/>
        <v>0</v>
      </c>
      <c r="U179" s="73">
        <f>SUM(D179:Q179)</f>
        <v>-81000</v>
      </c>
    </row>
    <row r="180" spans="1:26" s="15" customFormat="1" ht="20.100000000000001" hidden="1" customHeight="1">
      <c r="A180" s="460"/>
      <c r="B180" s="417"/>
      <c r="C180" s="437"/>
      <c r="D180" s="114" t="e">
        <f>D179/D132</f>
        <v>#DIV/0!</v>
      </c>
      <c r="E180" s="114" t="e">
        <f>E179/E116</f>
        <v>#DIV/0!</v>
      </c>
      <c r="F180" s="114" t="e">
        <f>F179/F115</f>
        <v>#DIV/0!</v>
      </c>
      <c r="G180" s="114" t="e">
        <f t="shared" ref="G180:T180" si="64">G179/G115</f>
        <v>#DIV/0!</v>
      </c>
      <c r="H180" s="114" t="e">
        <f t="shared" si="64"/>
        <v>#DIV/0!</v>
      </c>
      <c r="I180" s="114" t="e">
        <f t="shared" si="64"/>
        <v>#DIV/0!</v>
      </c>
      <c r="J180" s="114"/>
      <c r="K180" s="114" t="e">
        <f t="shared" si="64"/>
        <v>#DIV/0!</v>
      </c>
      <c r="L180" s="114" t="e">
        <f t="shared" si="64"/>
        <v>#DIV/0!</v>
      </c>
      <c r="M180" s="114" t="e">
        <f t="shared" si="64"/>
        <v>#DIV/0!</v>
      </c>
      <c r="N180" s="114" t="e">
        <f t="shared" si="64"/>
        <v>#DIV/0!</v>
      </c>
      <c r="O180" s="114" t="e">
        <f t="shared" si="64"/>
        <v>#DIV/0!</v>
      </c>
      <c r="P180" s="114" t="e">
        <f t="shared" si="64"/>
        <v>#DIV/0!</v>
      </c>
      <c r="Q180" s="114" t="e">
        <f t="shared" si="64"/>
        <v>#DIV/0!</v>
      </c>
      <c r="R180" s="114" t="e">
        <f t="shared" si="64"/>
        <v>#DIV/0!</v>
      </c>
      <c r="S180" s="114" t="e">
        <f t="shared" si="64"/>
        <v>#DIV/0!</v>
      </c>
      <c r="T180" s="114" t="e">
        <f t="shared" si="64"/>
        <v>#DIV/0!</v>
      </c>
      <c r="U180" s="115" t="e">
        <f>U179/U116</f>
        <v>#DIV/0!</v>
      </c>
    </row>
    <row r="181" spans="1:26" s="15" customFormat="1" ht="20.100000000000001" hidden="1" customHeight="1">
      <c r="A181" s="460"/>
      <c r="B181" s="416" t="s">
        <v>53</v>
      </c>
      <c r="C181" s="43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292">
        <f>SUM(D181:N181)</f>
        <v>0</v>
      </c>
    </row>
    <row r="182" spans="1:26" s="15" customFormat="1" ht="20.100000000000001" hidden="1" customHeight="1">
      <c r="A182" s="460"/>
      <c r="B182" s="417"/>
      <c r="C182" s="435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5">
        <f>U181/U117</f>
        <v>0</v>
      </c>
    </row>
    <row r="183" spans="1:26" s="15" customFormat="1" ht="20.100000000000001" hidden="1" customHeight="1">
      <c r="A183" s="460"/>
      <c r="B183" s="416" t="s">
        <v>25</v>
      </c>
      <c r="C183" s="436"/>
      <c r="D183" s="113">
        <f t="shared" ref="D183:T183" si="65">D117-D39</f>
        <v>399714</v>
      </c>
      <c r="E183" s="113">
        <f t="shared" si="65"/>
        <v>14292</v>
      </c>
      <c r="F183" s="113">
        <f t="shared" si="65"/>
        <v>0</v>
      </c>
      <c r="G183" s="113">
        <f t="shared" si="65"/>
        <v>182140</v>
      </c>
      <c r="H183" s="113">
        <f t="shared" si="65"/>
        <v>259140</v>
      </c>
      <c r="I183" s="113">
        <f t="shared" si="65"/>
        <v>27000</v>
      </c>
      <c r="J183" s="113"/>
      <c r="K183" s="113">
        <f t="shared" si="65"/>
        <v>0</v>
      </c>
      <c r="L183" s="113">
        <f t="shared" si="65"/>
        <v>0</v>
      </c>
      <c r="M183" s="113">
        <f t="shared" si="65"/>
        <v>0</v>
      </c>
      <c r="N183" s="113">
        <f t="shared" si="65"/>
        <v>0</v>
      </c>
      <c r="O183" s="113">
        <f t="shared" si="65"/>
        <v>0</v>
      </c>
      <c r="P183" s="113">
        <f t="shared" si="65"/>
        <v>0</v>
      </c>
      <c r="Q183" s="113">
        <f t="shared" si="65"/>
        <v>0</v>
      </c>
      <c r="R183" s="113">
        <f t="shared" si="65"/>
        <v>0</v>
      </c>
      <c r="S183" s="113">
        <f t="shared" si="65"/>
        <v>0</v>
      </c>
      <c r="T183" s="113">
        <f t="shared" si="65"/>
        <v>0</v>
      </c>
      <c r="U183" s="73">
        <f>SUM(D183:Q183)</f>
        <v>882286</v>
      </c>
    </row>
    <row r="184" spans="1:26" s="15" customFormat="1" ht="20.100000000000001" hidden="1" customHeight="1">
      <c r="A184" s="460"/>
      <c r="B184" s="417"/>
      <c r="C184" s="437"/>
      <c r="D184" s="114">
        <f t="shared" ref="D184:T184" si="66">D183/D117</f>
        <v>0.15471310761570564</v>
      </c>
      <c r="E184" s="114">
        <f t="shared" si="66"/>
        <v>0.1499811106913487</v>
      </c>
      <c r="F184" s="114" t="e">
        <f t="shared" si="66"/>
        <v>#DIV/0!</v>
      </c>
      <c r="G184" s="114">
        <f t="shared" si="66"/>
        <v>0.14998353096179184</v>
      </c>
      <c r="H184" s="114">
        <f t="shared" si="66"/>
        <v>0.14999392245046797</v>
      </c>
      <c r="I184" s="114">
        <f t="shared" si="66"/>
        <v>5.272407732864675E-2</v>
      </c>
      <c r="J184" s="114"/>
      <c r="K184" s="114" t="e">
        <f t="shared" si="66"/>
        <v>#DIV/0!</v>
      </c>
      <c r="L184" s="114" t="e">
        <f t="shared" si="66"/>
        <v>#DIV/0!</v>
      </c>
      <c r="M184" s="114" t="e">
        <f t="shared" si="66"/>
        <v>#DIV/0!</v>
      </c>
      <c r="N184" s="114" t="e">
        <f t="shared" si="66"/>
        <v>#DIV/0!</v>
      </c>
      <c r="O184" s="114" t="e">
        <f t="shared" si="66"/>
        <v>#DIV/0!</v>
      </c>
      <c r="P184" s="114" t="e">
        <f t="shared" si="66"/>
        <v>#DIV/0!</v>
      </c>
      <c r="Q184" s="114" t="e">
        <f t="shared" si="66"/>
        <v>#DIV/0!</v>
      </c>
      <c r="R184" s="114" t="e">
        <f t="shared" si="66"/>
        <v>#DIV/0!</v>
      </c>
      <c r="S184" s="114" t="e">
        <f t="shared" si="66"/>
        <v>#DIV/0!</v>
      </c>
      <c r="T184" s="114" t="e">
        <f t="shared" si="66"/>
        <v>#DIV/0!</v>
      </c>
      <c r="U184" s="115">
        <f>U183/U118</f>
        <v>9.2803828757757447</v>
      </c>
    </row>
    <row r="185" spans="1:26" s="15" customFormat="1" ht="20.100000000000001" hidden="1" customHeight="1">
      <c r="A185" s="460"/>
      <c r="B185" s="416" t="s">
        <v>20</v>
      </c>
      <c r="C185" s="436"/>
      <c r="D185" s="113">
        <f t="shared" ref="D185:T185" si="67">D118-D41</f>
        <v>6528</v>
      </c>
      <c r="E185" s="113">
        <f t="shared" si="67"/>
        <v>0</v>
      </c>
      <c r="F185" s="113">
        <f t="shared" si="67"/>
        <v>0</v>
      </c>
      <c r="G185" s="113">
        <f t="shared" si="67"/>
        <v>0</v>
      </c>
      <c r="H185" s="113">
        <f t="shared" si="67"/>
        <v>9792</v>
      </c>
      <c r="I185" s="113">
        <f t="shared" si="67"/>
        <v>0</v>
      </c>
      <c r="J185" s="113"/>
      <c r="K185" s="113">
        <f t="shared" si="67"/>
        <v>0</v>
      </c>
      <c r="L185" s="113">
        <f t="shared" si="67"/>
        <v>0</v>
      </c>
      <c r="M185" s="113">
        <f t="shared" si="67"/>
        <v>0</v>
      </c>
      <c r="N185" s="113">
        <f t="shared" si="67"/>
        <v>0</v>
      </c>
      <c r="O185" s="113">
        <f t="shared" si="67"/>
        <v>0</v>
      </c>
      <c r="P185" s="113">
        <f t="shared" si="67"/>
        <v>0</v>
      </c>
      <c r="Q185" s="113">
        <f t="shared" si="67"/>
        <v>0</v>
      </c>
      <c r="R185" s="113">
        <f t="shared" si="67"/>
        <v>0</v>
      </c>
      <c r="S185" s="113">
        <f t="shared" si="67"/>
        <v>0</v>
      </c>
      <c r="T185" s="113">
        <f t="shared" si="67"/>
        <v>0</v>
      </c>
      <c r="U185" s="73">
        <f>SUM(D185:Q185)</f>
        <v>16320</v>
      </c>
    </row>
    <row r="186" spans="1:26" s="15" customFormat="1" ht="20.100000000000001" hidden="1" customHeight="1">
      <c r="A186" s="460"/>
      <c r="B186" s="417"/>
      <c r="C186" s="437"/>
      <c r="D186" s="114">
        <f t="shared" ref="D186:T186" si="68">D185/D118</f>
        <v>0.17166298516882297</v>
      </c>
      <c r="E186" s="114" t="e">
        <f t="shared" si="68"/>
        <v>#DIV/0!</v>
      </c>
      <c r="F186" s="114" t="e">
        <f t="shared" si="68"/>
        <v>#DIV/0!</v>
      </c>
      <c r="G186" s="114" t="e">
        <f t="shared" si="68"/>
        <v>#DIV/0!</v>
      </c>
      <c r="H186" s="114">
        <f t="shared" si="68"/>
        <v>0.17166298516882297</v>
      </c>
      <c r="I186" s="114" t="e">
        <f t="shared" si="68"/>
        <v>#DIV/0!</v>
      </c>
      <c r="J186" s="114"/>
      <c r="K186" s="114" t="e">
        <f t="shared" si="68"/>
        <v>#DIV/0!</v>
      </c>
      <c r="L186" s="114" t="e">
        <f t="shared" si="68"/>
        <v>#DIV/0!</v>
      </c>
      <c r="M186" s="114" t="e">
        <f t="shared" si="68"/>
        <v>#DIV/0!</v>
      </c>
      <c r="N186" s="114" t="e">
        <f t="shared" si="68"/>
        <v>#DIV/0!</v>
      </c>
      <c r="O186" s="114" t="e">
        <f t="shared" si="68"/>
        <v>#DIV/0!</v>
      </c>
      <c r="P186" s="114" t="e">
        <f t="shared" si="68"/>
        <v>#DIV/0!</v>
      </c>
      <c r="Q186" s="114" t="e">
        <f t="shared" si="68"/>
        <v>#DIV/0!</v>
      </c>
      <c r="R186" s="114" t="e">
        <f t="shared" si="68"/>
        <v>#DIV/0!</v>
      </c>
      <c r="S186" s="114" t="e">
        <f t="shared" si="68"/>
        <v>#DIV/0!</v>
      </c>
      <c r="T186" s="114" t="e">
        <f t="shared" si="68"/>
        <v>#DIV/0!</v>
      </c>
      <c r="U186" s="115">
        <f>U185/U119</f>
        <v>1.0103699117783626E-2</v>
      </c>
    </row>
    <row r="187" spans="1:26" s="15" customFormat="1" ht="20.100000000000001" hidden="1" customHeight="1">
      <c r="A187" s="460"/>
      <c r="B187" s="416" t="s">
        <v>103</v>
      </c>
      <c r="C187" s="436"/>
      <c r="D187" s="113">
        <f t="shared" ref="D187:T187" si="69">D119-D43</f>
        <v>125050</v>
      </c>
      <c r="E187" s="113">
        <f t="shared" si="69"/>
        <v>0</v>
      </c>
      <c r="F187" s="113">
        <f t="shared" si="69"/>
        <v>0</v>
      </c>
      <c r="G187" s="113">
        <f t="shared" si="69"/>
        <v>-650</v>
      </c>
      <c r="H187" s="113">
        <f t="shared" si="69"/>
        <v>186000</v>
      </c>
      <c r="I187" s="113">
        <f t="shared" si="69"/>
        <v>0</v>
      </c>
      <c r="J187" s="113"/>
      <c r="K187" s="113">
        <f t="shared" si="69"/>
        <v>0</v>
      </c>
      <c r="L187" s="113">
        <f t="shared" si="69"/>
        <v>0</v>
      </c>
      <c r="M187" s="113">
        <f t="shared" si="69"/>
        <v>0</v>
      </c>
      <c r="N187" s="113">
        <f t="shared" si="69"/>
        <v>0</v>
      </c>
      <c r="O187" s="113">
        <f t="shared" si="69"/>
        <v>0</v>
      </c>
      <c r="P187" s="113">
        <f t="shared" si="69"/>
        <v>0</v>
      </c>
      <c r="Q187" s="113">
        <f t="shared" si="69"/>
        <v>0</v>
      </c>
      <c r="R187" s="113">
        <f t="shared" si="69"/>
        <v>0</v>
      </c>
      <c r="S187" s="113">
        <f t="shared" si="69"/>
        <v>0</v>
      </c>
      <c r="T187" s="113">
        <f t="shared" si="69"/>
        <v>0</v>
      </c>
      <c r="U187" s="73">
        <f>SUM(D187:Q187)</f>
        <v>310400</v>
      </c>
    </row>
    <row r="188" spans="1:26" s="15" customFormat="1" ht="20.100000000000001" hidden="1" customHeight="1">
      <c r="A188" s="460"/>
      <c r="B188" s="417"/>
      <c r="C188" s="437"/>
      <c r="D188" s="114">
        <f t="shared" ref="D188:T188" si="70">D187/D119</f>
        <v>0.19260685406237968</v>
      </c>
      <c r="E188" s="114" t="e">
        <f t="shared" si="70"/>
        <v>#DIV/0!</v>
      </c>
      <c r="F188" s="114" t="e">
        <f t="shared" si="70"/>
        <v>#DIV/0!</v>
      </c>
      <c r="G188" s="114" t="e">
        <f t="shared" si="70"/>
        <v>#DIV/0!</v>
      </c>
      <c r="H188" s="114">
        <f t="shared" si="70"/>
        <v>0.19254658385093168</v>
      </c>
      <c r="I188" s="114" t="e">
        <f t="shared" si="70"/>
        <v>#DIV/0!</v>
      </c>
      <c r="J188" s="114"/>
      <c r="K188" s="114" t="e">
        <f t="shared" si="70"/>
        <v>#DIV/0!</v>
      </c>
      <c r="L188" s="114" t="e">
        <f t="shared" si="70"/>
        <v>#DIV/0!</v>
      </c>
      <c r="M188" s="114" t="e">
        <f t="shared" si="70"/>
        <v>#DIV/0!</v>
      </c>
      <c r="N188" s="114" t="e">
        <f t="shared" si="70"/>
        <v>#DIV/0!</v>
      </c>
      <c r="O188" s="114" t="e">
        <f t="shared" si="70"/>
        <v>#DIV/0!</v>
      </c>
      <c r="P188" s="114" t="e">
        <f t="shared" si="70"/>
        <v>#DIV/0!</v>
      </c>
      <c r="Q188" s="114" t="e">
        <f t="shared" si="70"/>
        <v>#DIV/0!</v>
      </c>
      <c r="R188" s="114" t="e">
        <f t="shared" si="70"/>
        <v>#DIV/0!</v>
      </c>
      <c r="S188" s="114" t="e">
        <f t="shared" si="70"/>
        <v>#DIV/0!</v>
      </c>
      <c r="T188" s="114" t="e">
        <f t="shared" si="70"/>
        <v>#DIV/0!</v>
      </c>
      <c r="U188" s="115" t="e">
        <f>U187/U120</f>
        <v>#DIV/0!</v>
      </c>
    </row>
    <row r="189" spans="1:26" s="15" customFormat="1" ht="20.100000000000001" hidden="1" customHeight="1">
      <c r="A189" s="460"/>
      <c r="B189" s="416" t="s">
        <v>127</v>
      </c>
      <c r="C189" s="436"/>
      <c r="D189" s="113">
        <f t="shared" ref="D189:T189" si="71">D120-D45</f>
        <v>0</v>
      </c>
      <c r="E189" s="113">
        <f t="shared" si="71"/>
        <v>0</v>
      </c>
      <c r="F189" s="113">
        <f t="shared" si="71"/>
        <v>0</v>
      </c>
      <c r="G189" s="113">
        <f t="shared" si="71"/>
        <v>0</v>
      </c>
      <c r="H189" s="113">
        <f t="shared" si="71"/>
        <v>0</v>
      </c>
      <c r="I189" s="113">
        <f t="shared" si="71"/>
        <v>0</v>
      </c>
      <c r="J189" s="113"/>
      <c r="K189" s="113">
        <f t="shared" si="71"/>
        <v>0</v>
      </c>
      <c r="L189" s="113">
        <f t="shared" si="71"/>
        <v>0</v>
      </c>
      <c r="M189" s="113">
        <f t="shared" si="71"/>
        <v>0</v>
      </c>
      <c r="N189" s="113">
        <f t="shared" si="71"/>
        <v>0</v>
      </c>
      <c r="O189" s="113">
        <f t="shared" si="71"/>
        <v>0</v>
      </c>
      <c r="P189" s="113">
        <f t="shared" si="71"/>
        <v>0</v>
      </c>
      <c r="Q189" s="113">
        <f t="shared" si="71"/>
        <v>0</v>
      </c>
      <c r="R189" s="113">
        <f t="shared" si="71"/>
        <v>0</v>
      </c>
      <c r="S189" s="113">
        <f t="shared" si="71"/>
        <v>0</v>
      </c>
      <c r="T189" s="113">
        <f t="shared" si="71"/>
        <v>0</v>
      </c>
      <c r="U189" s="294">
        <f>SUM(D189:Q189)</f>
        <v>0</v>
      </c>
    </row>
    <row r="190" spans="1:26" s="15" customFormat="1" ht="20.100000000000001" hidden="1" customHeight="1">
      <c r="A190" s="460"/>
      <c r="B190" s="417"/>
      <c r="C190" s="437"/>
      <c r="D190" s="114" t="e">
        <f t="shared" ref="D190:T190" si="72">D189/D120</f>
        <v>#DIV/0!</v>
      </c>
      <c r="E190" s="114" t="e">
        <f t="shared" si="72"/>
        <v>#DIV/0!</v>
      </c>
      <c r="F190" s="114" t="e">
        <f t="shared" si="72"/>
        <v>#DIV/0!</v>
      </c>
      <c r="G190" s="114" t="e">
        <f t="shared" si="72"/>
        <v>#DIV/0!</v>
      </c>
      <c r="H190" s="114" t="e">
        <f t="shared" si="72"/>
        <v>#DIV/0!</v>
      </c>
      <c r="I190" s="114" t="e">
        <f t="shared" si="72"/>
        <v>#DIV/0!</v>
      </c>
      <c r="J190" s="114"/>
      <c r="K190" s="114" t="e">
        <f t="shared" si="72"/>
        <v>#DIV/0!</v>
      </c>
      <c r="L190" s="114" t="e">
        <f t="shared" si="72"/>
        <v>#DIV/0!</v>
      </c>
      <c r="M190" s="114" t="e">
        <f t="shared" si="72"/>
        <v>#DIV/0!</v>
      </c>
      <c r="N190" s="114" t="e">
        <f t="shared" si="72"/>
        <v>#DIV/0!</v>
      </c>
      <c r="O190" s="114" t="e">
        <f t="shared" si="72"/>
        <v>#DIV/0!</v>
      </c>
      <c r="P190" s="114" t="e">
        <f t="shared" si="72"/>
        <v>#DIV/0!</v>
      </c>
      <c r="Q190" s="114" t="e">
        <f t="shared" si="72"/>
        <v>#DIV/0!</v>
      </c>
      <c r="R190" s="114" t="e">
        <f t="shared" si="72"/>
        <v>#DIV/0!</v>
      </c>
      <c r="S190" s="114" t="e">
        <f t="shared" si="72"/>
        <v>#DIV/0!</v>
      </c>
      <c r="T190" s="114" t="e">
        <f t="shared" si="72"/>
        <v>#DIV/0!</v>
      </c>
      <c r="U190" s="115" t="e">
        <f>U189/U121</f>
        <v>#DIV/0!</v>
      </c>
    </row>
    <row r="191" spans="1:26" s="15" customFormat="1" ht="20.100000000000001" hidden="1" customHeight="1">
      <c r="A191" s="460"/>
      <c r="B191" s="416" t="s">
        <v>54</v>
      </c>
      <c r="C191" s="434"/>
      <c r="D191" s="113">
        <f t="shared" ref="D191:T191" si="73">D121-D47</f>
        <v>0</v>
      </c>
      <c r="E191" s="113">
        <f t="shared" si="73"/>
        <v>0</v>
      </c>
      <c r="F191" s="113">
        <f t="shared" si="73"/>
        <v>0</v>
      </c>
      <c r="G191" s="113">
        <f t="shared" si="73"/>
        <v>0</v>
      </c>
      <c r="H191" s="113">
        <f t="shared" si="73"/>
        <v>0</v>
      </c>
      <c r="I191" s="113">
        <f t="shared" si="73"/>
        <v>0</v>
      </c>
      <c r="J191" s="113"/>
      <c r="K191" s="113">
        <f t="shared" si="73"/>
        <v>0</v>
      </c>
      <c r="L191" s="113">
        <f t="shared" si="73"/>
        <v>0</v>
      </c>
      <c r="M191" s="113">
        <f t="shared" si="73"/>
        <v>0</v>
      </c>
      <c r="N191" s="113">
        <f t="shared" si="73"/>
        <v>0</v>
      </c>
      <c r="O191" s="113">
        <f t="shared" si="73"/>
        <v>0</v>
      </c>
      <c r="P191" s="113">
        <f t="shared" si="73"/>
        <v>0</v>
      </c>
      <c r="Q191" s="113">
        <f t="shared" si="73"/>
        <v>0</v>
      </c>
      <c r="R191" s="113">
        <f t="shared" si="73"/>
        <v>0</v>
      </c>
      <c r="S191" s="113">
        <f t="shared" si="73"/>
        <v>0</v>
      </c>
      <c r="T191" s="113">
        <f t="shared" si="73"/>
        <v>0</v>
      </c>
      <c r="U191" s="292">
        <f>SUM(D191:N191)</f>
        <v>0</v>
      </c>
    </row>
    <row r="192" spans="1:26" s="33" customFormat="1" ht="20.100000000000001" hidden="1" customHeight="1">
      <c r="A192" s="460"/>
      <c r="B192" s="417"/>
      <c r="C192" s="435"/>
      <c r="D192" s="114" t="e">
        <f t="shared" ref="D192:T192" si="74">D191/D121</f>
        <v>#DIV/0!</v>
      </c>
      <c r="E192" s="114" t="e">
        <f t="shared" si="74"/>
        <v>#DIV/0!</v>
      </c>
      <c r="F192" s="114" t="e">
        <f t="shared" si="74"/>
        <v>#DIV/0!</v>
      </c>
      <c r="G192" s="114" t="e">
        <f t="shared" si="74"/>
        <v>#DIV/0!</v>
      </c>
      <c r="H192" s="114" t="e">
        <f t="shared" si="74"/>
        <v>#DIV/0!</v>
      </c>
      <c r="I192" s="114" t="e">
        <f t="shared" si="74"/>
        <v>#DIV/0!</v>
      </c>
      <c r="J192" s="114"/>
      <c r="K192" s="114" t="e">
        <f t="shared" si="74"/>
        <v>#DIV/0!</v>
      </c>
      <c r="L192" s="114" t="e">
        <f t="shared" si="74"/>
        <v>#DIV/0!</v>
      </c>
      <c r="M192" s="114" t="e">
        <f t="shared" si="74"/>
        <v>#DIV/0!</v>
      </c>
      <c r="N192" s="114" t="e">
        <f t="shared" si="74"/>
        <v>#DIV/0!</v>
      </c>
      <c r="O192" s="114" t="e">
        <f t="shared" si="74"/>
        <v>#DIV/0!</v>
      </c>
      <c r="P192" s="114" t="e">
        <f t="shared" si="74"/>
        <v>#DIV/0!</v>
      </c>
      <c r="Q192" s="114" t="e">
        <f t="shared" si="74"/>
        <v>#DIV/0!</v>
      </c>
      <c r="R192" s="114" t="e">
        <f t="shared" si="74"/>
        <v>#DIV/0!</v>
      </c>
      <c r="S192" s="114" t="e">
        <f t="shared" si="74"/>
        <v>#DIV/0!</v>
      </c>
      <c r="T192" s="114" t="e">
        <f t="shared" si="74"/>
        <v>#DIV/0!</v>
      </c>
      <c r="U192" s="115" t="e">
        <f>U191/U123</f>
        <v>#DIV/0!</v>
      </c>
      <c r="V192" s="15"/>
      <c r="W192" s="15"/>
      <c r="X192" s="15"/>
      <c r="Y192" s="15"/>
      <c r="Z192" s="15"/>
    </row>
    <row r="193" spans="1:26" s="33" customFormat="1" ht="20.100000000000001" hidden="1" customHeight="1">
      <c r="A193" s="460"/>
      <c r="B193" s="416" t="s">
        <v>23</v>
      </c>
      <c r="C193" s="436"/>
      <c r="D193" s="113">
        <f t="shared" ref="D193:T193" si="75">D123-D51</f>
        <v>0</v>
      </c>
      <c r="E193" s="113">
        <f t="shared" si="75"/>
        <v>0</v>
      </c>
      <c r="F193" s="113">
        <f t="shared" si="75"/>
        <v>0</v>
      </c>
      <c r="G193" s="113">
        <f t="shared" si="75"/>
        <v>0</v>
      </c>
      <c r="H193" s="113">
        <f t="shared" si="75"/>
        <v>0</v>
      </c>
      <c r="I193" s="113">
        <f t="shared" si="75"/>
        <v>0</v>
      </c>
      <c r="J193" s="113"/>
      <c r="K193" s="113">
        <f t="shared" si="75"/>
        <v>0</v>
      </c>
      <c r="L193" s="113">
        <f t="shared" si="75"/>
        <v>0</v>
      </c>
      <c r="M193" s="113">
        <f t="shared" si="75"/>
        <v>0</v>
      </c>
      <c r="N193" s="113">
        <f t="shared" si="75"/>
        <v>0</v>
      </c>
      <c r="O193" s="113">
        <f t="shared" si="75"/>
        <v>0</v>
      </c>
      <c r="P193" s="113">
        <f t="shared" si="75"/>
        <v>0</v>
      </c>
      <c r="Q193" s="113">
        <f t="shared" si="75"/>
        <v>0</v>
      </c>
      <c r="R193" s="113">
        <f t="shared" si="75"/>
        <v>0</v>
      </c>
      <c r="S193" s="113">
        <f t="shared" si="75"/>
        <v>0</v>
      </c>
      <c r="T193" s="113">
        <f t="shared" si="75"/>
        <v>0</v>
      </c>
      <c r="U193" s="73">
        <f>SUM(D193:Q193)</f>
        <v>0</v>
      </c>
      <c r="V193" s="15"/>
      <c r="W193" s="15"/>
      <c r="X193" s="15"/>
      <c r="Y193" s="15"/>
      <c r="Z193" s="15"/>
    </row>
    <row r="194" spans="1:26" s="33" customFormat="1" ht="20.100000000000001" hidden="1" customHeight="1">
      <c r="A194" s="460"/>
      <c r="B194" s="417"/>
      <c r="C194" s="437"/>
      <c r="D194" s="293" t="e">
        <f t="shared" ref="D194:T194" si="76">D193/D123</f>
        <v>#DIV/0!</v>
      </c>
      <c r="E194" s="293" t="e">
        <f t="shared" si="76"/>
        <v>#DIV/0!</v>
      </c>
      <c r="F194" s="114" t="e">
        <f t="shared" si="76"/>
        <v>#DIV/0!</v>
      </c>
      <c r="G194" s="114" t="e">
        <f t="shared" si="76"/>
        <v>#DIV/0!</v>
      </c>
      <c r="H194" s="114" t="e">
        <f t="shared" si="76"/>
        <v>#DIV/0!</v>
      </c>
      <c r="I194" s="114" t="e">
        <f t="shared" si="76"/>
        <v>#DIV/0!</v>
      </c>
      <c r="J194" s="114"/>
      <c r="K194" s="114" t="e">
        <f t="shared" si="76"/>
        <v>#DIV/0!</v>
      </c>
      <c r="L194" s="114" t="e">
        <f t="shared" si="76"/>
        <v>#DIV/0!</v>
      </c>
      <c r="M194" s="114" t="e">
        <f t="shared" si="76"/>
        <v>#DIV/0!</v>
      </c>
      <c r="N194" s="114" t="e">
        <f t="shared" si="76"/>
        <v>#DIV/0!</v>
      </c>
      <c r="O194" s="114" t="e">
        <f t="shared" si="76"/>
        <v>#DIV/0!</v>
      </c>
      <c r="P194" s="114" t="e">
        <f t="shared" si="76"/>
        <v>#DIV/0!</v>
      </c>
      <c r="Q194" s="114" t="e">
        <f t="shared" si="76"/>
        <v>#DIV/0!</v>
      </c>
      <c r="R194" s="114" t="e">
        <f t="shared" si="76"/>
        <v>#DIV/0!</v>
      </c>
      <c r="S194" s="114" t="e">
        <f t="shared" si="76"/>
        <v>#DIV/0!</v>
      </c>
      <c r="T194" s="114" t="e">
        <f t="shared" si="76"/>
        <v>#DIV/0!</v>
      </c>
      <c r="U194" s="115" t="e">
        <f>U193/U124</f>
        <v>#DIV/0!</v>
      </c>
      <c r="V194" s="15"/>
      <c r="W194" s="15"/>
      <c r="X194" s="15"/>
      <c r="Y194" s="15"/>
      <c r="Z194" s="15"/>
    </row>
    <row r="195" spans="1:26" s="33" customFormat="1" ht="20.100000000000001" hidden="1" customHeight="1">
      <c r="A195" s="460"/>
      <c r="B195" s="416" t="s">
        <v>107</v>
      </c>
      <c r="C195" s="116"/>
      <c r="D195" s="293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5"/>
      <c r="V195" s="15"/>
      <c r="W195" s="15"/>
      <c r="X195" s="15"/>
      <c r="Y195" s="15"/>
      <c r="Z195" s="15"/>
    </row>
    <row r="196" spans="1:26" s="33" customFormat="1" ht="20.100000000000001" hidden="1" customHeight="1">
      <c r="A196" s="460"/>
      <c r="B196" s="417"/>
      <c r="C196" s="116"/>
      <c r="D196" s="293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5"/>
      <c r="V196" s="15"/>
      <c r="W196" s="15"/>
      <c r="X196" s="15"/>
      <c r="Y196" s="15"/>
      <c r="Z196" s="15"/>
    </row>
    <row r="197" spans="1:26" s="33" customFormat="1" ht="20.100000000000001" hidden="1" customHeight="1">
      <c r="A197" s="460"/>
      <c r="B197" s="416" t="s">
        <v>55</v>
      </c>
      <c r="C197" s="434"/>
      <c r="D197" s="113">
        <f t="shared" ref="D197:T197" si="77">D125-D55</f>
        <v>14280</v>
      </c>
      <c r="E197" s="113">
        <f t="shared" si="77"/>
        <v>0</v>
      </c>
      <c r="F197" s="113">
        <f t="shared" si="77"/>
        <v>0</v>
      </c>
      <c r="G197" s="113">
        <f t="shared" si="77"/>
        <v>0</v>
      </c>
      <c r="H197" s="113">
        <f t="shared" si="77"/>
        <v>0</v>
      </c>
      <c r="I197" s="113">
        <f t="shared" si="77"/>
        <v>0</v>
      </c>
      <c r="J197" s="113"/>
      <c r="K197" s="113">
        <f t="shared" si="77"/>
        <v>0</v>
      </c>
      <c r="L197" s="113">
        <f t="shared" si="77"/>
        <v>0</v>
      </c>
      <c r="M197" s="113">
        <f t="shared" si="77"/>
        <v>0</v>
      </c>
      <c r="N197" s="113">
        <f t="shared" si="77"/>
        <v>0</v>
      </c>
      <c r="O197" s="113">
        <f t="shared" si="77"/>
        <v>0</v>
      </c>
      <c r="P197" s="113">
        <f t="shared" si="77"/>
        <v>0</v>
      </c>
      <c r="Q197" s="113">
        <f t="shared" si="77"/>
        <v>0</v>
      </c>
      <c r="R197" s="113">
        <f t="shared" si="77"/>
        <v>0</v>
      </c>
      <c r="S197" s="113">
        <f t="shared" si="77"/>
        <v>0</v>
      </c>
      <c r="T197" s="113">
        <f t="shared" si="77"/>
        <v>0</v>
      </c>
      <c r="U197" s="292">
        <f>SUM(D197:N197)</f>
        <v>14280</v>
      </c>
      <c r="V197" s="15"/>
      <c r="W197" s="15"/>
      <c r="X197" s="15"/>
      <c r="Y197" s="15"/>
      <c r="Z197" s="15"/>
    </row>
    <row r="198" spans="1:26" s="33" customFormat="1" ht="20.100000000000001" hidden="1" customHeight="1">
      <c r="A198" s="460"/>
      <c r="B198" s="417"/>
      <c r="C198" s="435"/>
      <c r="D198" s="293">
        <f t="shared" ref="D198:T198" si="78">D197/D125</f>
        <v>0.15044247787610621</v>
      </c>
      <c r="E198" s="293" t="e">
        <f t="shared" si="78"/>
        <v>#DIV/0!</v>
      </c>
      <c r="F198" s="293" t="e">
        <f t="shared" si="78"/>
        <v>#DIV/0!</v>
      </c>
      <c r="G198" s="293" t="e">
        <f t="shared" si="78"/>
        <v>#DIV/0!</v>
      </c>
      <c r="H198" s="293" t="e">
        <f t="shared" si="78"/>
        <v>#DIV/0!</v>
      </c>
      <c r="I198" s="293" t="e">
        <f t="shared" si="78"/>
        <v>#DIV/0!</v>
      </c>
      <c r="J198" s="293"/>
      <c r="K198" s="293" t="e">
        <f t="shared" si="78"/>
        <v>#DIV/0!</v>
      </c>
      <c r="L198" s="293" t="e">
        <f t="shared" si="78"/>
        <v>#DIV/0!</v>
      </c>
      <c r="M198" s="293" t="e">
        <f t="shared" si="78"/>
        <v>#DIV/0!</v>
      </c>
      <c r="N198" s="293" t="e">
        <f t="shared" si="78"/>
        <v>#DIV/0!</v>
      </c>
      <c r="O198" s="293" t="e">
        <f t="shared" si="78"/>
        <v>#DIV/0!</v>
      </c>
      <c r="P198" s="293" t="e">
        <f t="shared" si="78"/>
        <v>#DIV/0!</v>
      </c>
      <c r="Q198" s="293" t="e">
        <f t="shared" si="78"/>
        <v>#DIV/0!</v>
      </c>
      <c r="R198" s="293" t="e">
        <f t="shared" si="78"/>
        <v>#DIV/0!</v>
      </c>
      <c r="S198" s="293" t="e">
        <f t="shared" si="78"/>
        <v>#DIV/0!</v>
      </c>
      <c r="T198" s="293" t="e">
        <f t="shared" si="78"/>
        <v>#DIV/0!</v>
      </c>
      <c r="U198" s="115">
        <f>U197/U128</f>
        <v>7.9701732452223617E-2</v>
      </c>
      <c r="V198" s="15"/>
      <c r="W198" s="15"/>
      <c r="X198" s="15"/>
      <c r="Y198" s="15"/>
      <c r="Z198" s="15"/>
    </row>
    <row r="199" spans="1:26" s="33" customFormat="1" ht="20.100000000000001" hidden="1" customHeight="1">
      <c r="A199" s="460"/>
      <c r="B199" s="416" t="s">
        <v>34</v>
      </c>
      <c r="C199" s="434"/>
      <c r="D199" s="113">
        <f t="shared" ref="D199:T199" si="79">D126-D57</f>
        <v>0</v>
      </c>
      <c r="E199" s="113">
        <f t="shared" si="79"/>
        <v>0</v>
      </c>
      <c r="F199" s="113">
        <f t="shared" si="79"/>
        <v>0</v>
      </c>
      <c r="G199" s="113">
        <f t="shared" si="79"/>
        <v>0</v>
      </c>
      <c r="H199" s="113">
        <f t="shared" si="79"/>
        <v>0</v>
      </c>
      <c r="I199" s="113">
        <f t="shared" si="79"/>
        <v>0</v>
      </c>
      <c r="J199" s="113"/>
      <c r="K199" s="113">
        <f t="shared" si="79"/>
        <v>0</v>
      </c>
      <c r="L199" s="113">
        <f t="shared" si="79"/>
        <v>0</v>
      </c>
      <c r="M199" s="113">
        <f t="shared" si="79"/>
        <v>0</v>
      </c>
      <c r="N199" s="113">
        <f t="shared" si="79"/>
        <v>0</v>
      </c>
      <c r="O199" s="113">
        <f t="shared" si="79"/>
        <v>0</v>
      </c>
      <c r="P199" s="113">
        <f t="shared" si="79"/>
        <v>0</v>
      </c>
      <c r="Q199" s="113">
        <f t="shared" si="79"/>
        <v>0</v>
      </c>
      <c r="R199" s="113">
        <f t="shared" si="79"/>
        <v>0</v>
      </c>
      <c r="S199" s="113">
        <f t="shared" si="79"/>
        <v>0</v>
      </c>
      <c r="T199" s="113">
        <f t="shared" si="79"/>
        <v>0</v>
      </c>
      <c r="U199" s="292">
        <f>SUM(D199:N199)</f>
        <v>0</v>
      </c>
      <c r="V199" s="15"/>
      <c r="W199" s="15"/>
      <c r="X199" s="15"/>
      <c r="Y199" s="15"/>
      <c r="Z199" s="15"/>
    </row>
    <row r="200" spans="1:26" s="33" customFormat="1" ht="20.100000000000001" hidden="1" customHeight="1">
      <c r="A200" s="460"/>
      <c r="B200" s="417"/>
      <c r="C200" s="435"/>
      <c r="D200" s="114" t="e">
        <f t="shared" ref="D200:T200" si="80">D199/D126</f>
        <v>#DIV/0!</v>
      </c>
      <c r="E200" s="114" t="e">
        <f t="shared" si="80"/>
        <v>#DIV/0!</v>
      </c>
      <c r="F200" s="114" t="e">
        <f t="shared" si="80"/>
        <v>#DIV/0!</v>
      </c>
      <c r="G200" s="114" t="e">
        <f t="shared" si="80"/>
        <v>#DIV/0!</v>
      </c>
      <c r="H200" s="114" t="e">
        <f t="shared" si="80"/>
        <v>#DIV/0!</v>
      </c>
      <c r="I200" s="114" t="e">
        <f t="shared" si="80"/>
        <v>#DIV/0!</v>
      </c>
      <c r="J200" s="114"/>
      <c r="K200" s="114" t="e">
        <f t="shared" si="80"/>
        <v>#DIV/0!</v>
      </c>
      <c r="L200" s="114" t="e">
        <f t="shared" si="80"/>
        <v>#DIV/0!</v>
      </c>
      <c r="M200" s="114" t="e">
        <f t="shared" si="80"/>
        <v>#DIV/0!</v>
      </c>
      <c r="N200" s="114" t="e">
        <f t="shared" si="80"/>
        <v>#DIV/0!</v>
      </c>
      <c r="O200" s="114" t="e">
        <f t="shared" si="80"/>
        <v>#DIV/0!</v>
      </c>
      <c r="P200" s="114" t="e">
        <f t="shared" si="80"/>
        <v>#DIV/0!</v>
      </c>
      <c r="Q200" s="114" t="e">
        <f t="shared" si="80"/>
        <v>#DIV/0!</v>
      </c>
      <c r="R200" s="114" t="e">
        <f t="shared" si="80"/>
        <v>#DIV/0!</v>
      </c>
      <c r="S200" s="114" t="e">
        <f t="shared" si="80"/>
        <v>#DIV/0!</v>
      </c>
      <c r="T200" s="114" t="e">
        <f t="shared" si="80"/>
        <v>#DIV/0!</v>
      </c>
      <c r="U200" s="115" t="e">
        <f>U199/U133</f>
        <v>#DIV/0!</v>
      </c>
      <c r="V200" s="15"/>
      <c r="W200" s="15"/>
      <c r="X200" s="15"/>
      <c r="Y200" s="15"/>
      <c r="Z200" s="15"/>
    </row>
    <row r="201" spans="1:26" s="33" customFormat="1" ht="20.100000000000001" hidden="1" customHeight="1">
      <c r="A201" s="460"/>
      <c r="B201" s="416" t="s">
        <v>35</v>
      </c>
      <c r="C201" s="434"/>
      <c r="D201" s="113">
        <f t="shared" ref="D201:T201" si="81">D127-D59</f>
        <v>280212</v>
      </c>
      <c r="E201" s="113">
        <f t="shared" si="81"/>
        <v>0</v>
      </c>
      <c r="F201" s="113">
        <f t="shared" si="81"/>
        <v>0</v>
      </c>
      <c r="G201" s="113">
        <f t="shared" si="81"/>
        <v>85548</v>
      </c>
      <c r="H201" s="113">
        <f t="shared" si="81"/>
        <v>26250</v>
      </c>
      <c r="I201" s="113">
        <f t="shared" si="81"/>
        <v>0</v>
      </c>
      <c r="J201" s="113"/>
      <c r="K201" s="113">
        <f t="shared" si="81"/>
        <v>0</v>
      </c>
      <c r="L201" s="113">
        <f t="shared" si="81"/>
        <v>0</v>
      </c>
      <c r="M201" s="113">
        <f t="shared" si="81"/>
        <v>0</v>
      </c>
      <c r="N201" s="113">
        <f t="shared" si="81"/>
        <v>0</v>
      </c>
      <c r="O201" s="113">
        <f t="shared" si="81"/>
        <v>0</v>
      </c>
      <c r="P201" s="113">
        <f t="shared" si="81"/>
        <v>0</v>
      </c>
      <c r="Q201" s="113">
        <f t="shared" si="81"/>
        <v>0</v>
      </c>
      <c r="R201" s="113">
        <f t="shared" si="81"/>
        <v>0</v>
      </c>
      <c r="S201" s="113">
        <f t="shared" si="81"/>
        <v>0</v>
      </c>
      <c r="T201" s="113">
        <f t="shared" si="81"/>
        <v>0</v>
      </c>
      <c r="U201" s="292">
        <f>SUM(D201:N201)</f>
        <v>392010</v>
      </c>
      <c r="V201" s="15"/>
      <c r="W201" s="15"/>
      <c r="X201" s="15"/>
      <c r="Y201" s="15"/>
      <c r="Z201" s="15"/>
    </row>
    <row r="202" spans="1:26" s="33" customFormat="1" ht="20.100000000000001" hidden="1" customHeight="1">
      <c r="A202" s="460"/>
      <c r="B202" s="417"/>
      <c r="C202" s="435"/>
      <c r="D202" s="114">
        <f t="shared" ref="D202:T202" si="82">D201/D127</f>
        <v>1</v>
      </c>
      <c r="E202" s="114" t="e">
        <f t="shared" si="82"/>
        <v>#DIV/0!</v>
      </c>
      <c r="F202" s="114" t="e">
        <f t="shared" si="82"/>
        <v>#DIV/0!</v>
      </c>
      <c r="G202" s="114">
        <f t="shared" si="82"/>
        <v>0.19994951478095024</v>
      </c>
      <c r="H202" s="114">
        <f t="shared" si="82"/>
        <v>0.2</v>
      </c>
      <c r="I202" s="114" t="e">
        <f t="shared" si="82"/>
        <v>#DIV/0!</v>
      </c>
      <c r="J202" s="114"/>
      <c r="K202" s="114" t="e">
        <f t="shared" si="82"/>
        <v>#DIV/0!</v>
      </c>
      <c r="L202" s="114" t="e">
        <f t="shared" si="82"/>
        <v>#DIV/0!</v>
      </c>
      <c r="M202" s="114" t="e">
        <f t="shared" si="82"/>
        <v>#DIV/0!</v>
      </c>
      <c r="N202" s="114" t="e">
        <f t="shared" si="82"/>
        <v>#DIV/0!</v>
      </c>
      <c r="O202" s="114" t="e">
        <f t="shared" si="82"/>
        <v>#DIV/0!</v>
      </c>
      <c r="P202" s="114" t="e">
        <f t="shared" si="82"/>
        <v>#DIV/0!</v>
      </c>
      <c r="Q202" s="114" t="e">
        <f t="shared" si="82"/>
        <v>#DIV/0!</v>
      </c>
      <c r="R202" s="114" t="e">
        <f t="shared" si="82"/>
        <v>#DIV/0!</v>
      </c>
      <c r="S202" s="114" t="e">
        <f t="shared" si="82"/>
        <v>#DIV/0!</v>
      </c>
      <c r="T202" s="114" t="e">
        <f t="shared" si="82"/>
        <v>#DIV/0!</v>
      </c>
      <c r="U202" s="115">
        <f>U201/U127</f>
        <v>0.46706222968867284</v>
      </c>
      <c r="V202" s="15"/>
      <c r="W202" s="15"/>
      <c r="X202" s="15"/>
      <c r="Y202" s="15"/>
      <c r="Z202" s="15"/>
    </row>
    <row r="203" spans="1:26" s="33" customFormat="1" ht="20.100000000000001" hidden="1" customHeight="1">
      <c r="A203" s="460"/>
      <c r="B203" s="416" t="s">
        <v>36</v>
      </c>
      <c r="C203" s="434"/>
      <c r="D203" s="113">
        <f>D130-D65</f>
        <v>0</v>
      </c>
      <c r="E203" s="113">
        <f t="shared" ref="E203:T203" si="83">E130-E67</f>
        <v>0</v>
      </c>
      <c r="F203" s="113">
        <f t="shared" si="83"/>
        <v>0</v>
      </c>
      <c r="G203" s="113">
        <f t="shared" si="83"/>
        <v>0</v>
      </c>
      <c r="H203" s="113">
        <f t="shared" si="83"/>
        <v>0</v>
      </c>
      <c r="I203" s="113">
        <f t="shared" si="83"/>
        <v>0</v>
      </c>
      <c r="J203" s="113"/>
      <c r="K203" s="113">
        <f t="shared" si="83"/>
        <v>0</v>
      </c>
      <c r="L203" s="113">
        <f t="shared" si="83"/>
        <v>0</v>
      </c>
      <c r="M203" s="113">
        <f t="shared" si="83"/>
        <v>0</v>
      </c>
      <c r="N203" s="113">
        <f t="shared" si="83"/>
        <v>0</v>
      </c>
      <c r="O203" s="113">
        <f t="shared" si="83"/>
        <v>0</v>
      </c>
      <c r="P203" s="113">
        <f t="shared" si="83"/>
        <v>0</v>
      </c>
      <c r="Q203" s="113">
        <f t="shared" si="83"/>
        <v>0</v>
      </c>
      <c r="R203" s="113">
        <f t="shared" si="83"/>
        <v>0</v>
      </c>
      <c r="S203" s="113">
        <f t="shared" si="83"/>
        <v>0</v>
      </c>
      <c r="T203" s="113">
        <f t="shared" si="83"/>
        <v>0</v>
      </c>
      <c r="U203" s="292">
        <f>SUM(D203:N203)</f>
        <v>0</v>
      </c>
      <c r="V203" s="15"/>
      <c r="W203" s="15"/>
      <c r="X203" s="15"/>
      <c r="Y203" s="15"/>
      <c r="Z203" s="15"/>
    </row>
    <row r="204" spans="1:26" s="33" customFormat="1" ht="20.100000000000001" hidden="1" customHeight="1">
      <c r="A204" s="460"/>
      <c r="B204" s="417"/>
      <c r="C204" s="435"/>
      <c r="D204" s="293" t="e">
        <f>D203/D130</f>
        <v>#DIV/0!</v>
      </c>
      <c r="E204" s="114" t="e">
        <f t="shared" ref="E204:T204" si="84">E203/E130</f>
        <v>#DIV/0!</v>
      </c>
      <c r="F204" s="114" t="e">
        <f t="shared" si="84"/>
        <v>#DIV/0!</v>
      </c>
      <c r="G204" s="114" t="e">
        <f t="shared" si="84"/>
        <v>#DIV/0!</v>
      </c>
      <c r="H204" s="114" t="e">
        <f t="shared" si="84"/>
        <v>#DIV/0!</v>
      </c>
      <c r="I204" s="114" t="e">
        <f t="shared" si="84"/>
        <v>#DIV/0!</v>
      </c>
      <c r="J204" s="114"/>
      <c r="K204" s="114" t="e">
        <f t="shared" si="84"/>
        <v>#DIV/0!</v>
      </c>
      <c r="L204" s="114" t="e">
        <f t="shared" si="84"/>
        <v>#DIV/0!</v>
      </c>
      <c r="M204" s="114" t="e">
        <f t="shared" si="84"/>
        <v>#DIV/0!</v>
      </c>
      <c r="N204" s="114" t="e">
        <f t="shared" si="84"/>
        <v>#DIV/0!</v>
      </c>
      <c r="O204" s="114" t="e">
        <f t="shared" si="84"/>
        <v>#DIV/0!</v>
      </c>
      <c r="P204" s="114" t="e">
        <f t="shared" si="84"/>
        <v>#DIV/0!</v>
      </c>
      <c r="Q204" s="114" t="e">
        <f t="shared" si="84"/>
        <v>#DIV/0!</v>
      </c>
      <c r="R204" s="114" t="e">
        <f t="shared" si="84"/>
        <v>#DIV/0!</v>
      </c>
      <c r="S204" s="114" t="e">
        <f t="shared" si="84"/>
        <v>#DIV/0!</v>
      </c>
      <c r="T204" s="114" t="e">
        <f t="shared" si="84"/>
        <v>#DIV/0!</v>
      </c>
      <c r="U204" s="115" t="e">
        <f>U203/U131</f>
        <v>#DIV/0!</v>
      </c>
      <c r="V204" s="15"/>
      <c r="W204" s="15"/>
      <c r="X204" s="15"/>
      <c r="Y204" s="15"/>
      <c r="Z204" s="15"/>
    </row>
    <row r="205" spans="1:26" s="33" customFormat="1" ht="20.100000000000001" hidden="1" customHeight="1">
      <c r="A205" s="460"/>
      <c r="B205" s="416" t="s">
        <v>129</v>
      </c>
      <c r="C205" s="434"/>
      <c r="D205" s="113">
        <f t="shared" ref="D205:T205" si="85">D131-D67</f>
        <v>0</v>
      </c>
      <c r="E205" s="113">
        <f t="shared" si="85"/>
        <v>0</v>
      </c>
      <c r="F205" s="113">
        <f t="shared" si="85"/>
        <v>0</v>
      </c>
      <c r="G205" s="113">
        <f t="shared" si="85"/>
        <v>0</v>
      </c>
      <c r="H205" s="113">
        <f t="shared" si="85"/>
        <v>0</v>
      </c>
      <c r="I205" s="113">
        <f t="shared" si="85"/>
        <v>0</v>
      </c>
      <c r="J205" s="113"/>
      <c r="K205" s="113">
        <f t="shared" si="85"/>
        <v>0</v>
      </c>
      <c r="L205" s="113">
        <f t="shared" si="85"/>
        <v>0</v>
      </c>
      <c r="M205" s="113">
        <f t="shared" si="85"/>
        <v>0</v>
      </c>
      <c r="N205" s="113">
        <f t="shared" si="85"/>
        <v>0</v>
      </c>
      <c r="O205" s="113">
        <f t="shared" si="85"/>
        <v>0</v>
      </c>
      <c r="P205" s="113">
        <f t="shared" si="85"/>
        <v>0</v>
      </c>
      <c r="Q205" s="113">
        <f t="shared" si="85"/>
        <v>0</v>
      </c>
      <c r="R205" s="113">
        <f t="shared" si="85"/>
        <v>0</v>
      </c>
      <c r="S205" s="113">
        <f t="shared" si="85"/>
        <v>0</v>
      </c>
      <c r="T205" s="113">
        <f t="shared" si="85"/>
        <v>0</v>
      </c>
      <c r="U205" s="115"/>
      <c r="V205" s="15"/>
      <c r="W205" s="15"/>
      <c r="X205" s="15"/>
      <c r="Y205" s="15"/>
      <c r="Z205" s="15"/>
    </row>
    <row r="206" spans="1:26" s="33" customFormat="1" ht="20.100000000000001" hidden="1" customHeight="1">
      <c r="A206" s="460"/>
      <c r="B206" s="417"/>
      <c r="C206" s="435"/>
      <c r="D206" s="114" t="e">
        <f t="shared" ref="D206:T206" si="86">D205/D131</f>
        <v>#DIV/0!</v>
      </c>
      <c r="E206" s="114" t="e">
        <f t="shared" si="86"/>
        <v>#DIV/0!</v>
      </c>
      <c r="F206" s="114" t="e">
        <f t="shared" si="86"/>
        <v>#DIV/0!</v>
      </c>
      <c r="G206" s="114" t="e">
        <f t="shared" si="86"/>
        <v>#DIV/0!</v>
      </c>
      <c r="H206" s="114" t="e">
        <f t="shared" si="86"/>
        <v>#DIV/0!</v>
      </c>
      <c r="I206" s="114" t="e">
        <f t="shared" si="86"/>
        <v>#DIV/0!</v>
      </c>
      <c r="J206" s="114"/>
      <c r="K206" s="114" t="e">
        <f t="shared" si="86"/>
        <v>#DIV/0!</v>
      </c>
      <c r="L206" s="114" t="e">
        <f t="shared" si="86"/>
        <v>#DIV/0!</v>
      </c>
      <c r="M206" s="114" t="e">
        <f t="shared" si="86"/>
        <v>#DIV/0!</v>
      </c>
      <c r="N206" s="114" t="e">
        <f t="shared" si="86"/>
        <v>#DIV/0!</v>
      </c>
      <c r="O206" s="114" t="e">
        <f t="shared" si="86"/>
        <v>#DIV/0!</v>
      </c>
      <c r="P206" s="114" t="e">
        <f t="shared" si="86"/>
        <v>#DIV/0!</v>
      </c>
      <c r="Q206" s="114" t="e">
        <f t="shared" si="86"/>
        <v>#DIV/0!</v>
      </c>
      <c r="R206" s="114" t="e">
        <f t="shared" si="86"/>
        <v>#DIV/0!</v>
      </c>
      <c r="S206" s="114" t="e">
        <f t="shared" si="86"/>
        <v>#DIV/0!</v>
      </c>
      <c r="T206" s="114" t="e">
        <f t="shared" si="86"/>
        <v>#DIV/0!</v>
      </c>
      <c r="U206" s="115"/>
      <c r="V206" s="15"/>
      <c r="W206" s="15"/>
      <c r="X206" s="15"/>
      <c r="Y206" s="15"/>
      <c r="Z206" s="15"/>
    </row>
    <row r="207" spans="1:26" s="33" customFormat="1" ht="20.100000000000001" hidden="1" customHeight="1">
      <c r="A207" s="460"/>
      <c r="B207" s="416" t="s">
        <v>130</v>
      </c>
      <c r="C207" s="434"/>
      <c r="D207" s="113">
        <f t="shared" ref="D207:T207" si="87">D132-D69</f>
        <v>0</v>
      </c>
      <c r="E207" s="113">
        <f t="shared" si="87"/>
        <v>0</v>
      </c>
      <c r="F207" s="113">
        <f t="shared" si="87"/>
        <v>0</v>
      </c>
      <c r="G207" s="113">
        <f t="shared" si="87"/>
        <v>0</v>
      </c>
      <c r="H207" s="113">
        <f>H132-H69</f>
        <v>0</v>
      </c>
      <c r="I207" s="113">
        <f>I132-I69</f>
        <v>0</v>
      </c>
      <c r="J207" s="113"/>
      <c r="K207" s="113">
        <f t="shared" si="87"/>
        <v>0</v>
      </c>
      <c r="L207" s="113">
        <f t="shared" si="87"/>
        <v>0</v>
      </c>
      <c r="M207" s="113">
        <f t="shared" si="87"/>
        <v>0</v>
      </c>
      <c r="N207" s="113">
        <f t="shared" si="87"/>
        <v>0</v>
      </c>
      <c r="O207" s="113">
        <f t="shared" si="87"/>
        <v>0</v>
      </c>
      <c r="P207" s="113">
        <f t="shared" si="87"/>
        <v>0</v>
      </c>
      <c r="Q207" s="113">
        <f t="shared" si="87"/>
        <v>0</v>
      </c>
      <c r="R207" s="113">
        <f t="shared" si="87"/>
        <v>0</v>
      </c>
      <c r="S207" s="113">
        <f t="shared" si="87"/>
        <v>0</v>
      </c>
      <c r="T207" s="113">
        <f t="shared" si="87"/>
        <v>0</v>
      </c>
      <c r="U207" s="115"/>
      <c r="V207" s="15"/>
      <c r="W207" s="15"/>
      <c r="X207" s="15"/>
      <c r="Y207" s="15"/>
      <c r="Z207" s="15"/>
    </row>
    <row r="208" spans="1:26" s="33" customFormat="1" ht="20.100000000000001" hidden="1" customHeight="1">
      <c r="A208" s="460"/>
      <c r="B208" s="417"/>
      <c r="C208" s="435"/>
      <c r="D208" s="114" t="e">
        <f t="shared" ref="D208:T208" si="88">D207/D132</f>
        <v>#DIV/0!</v>
      </c>
      <c r="E208" s="114" t="e">
        <f t="shared" si="88"/>
        <v>#DIV/0!</v>
      </c>
      <c r="F208" s="114" t="e">
        <f t="shared" si="88"/>
        <v>#DIV/0!</v>
      </c>
      <c r="G208" s="114" t="e">
        <f t="shared" si="88"/>
        <v>#DIV/0!</v>
      </c>
      <c r="H208" s="114" t="e">
        <f t="shared" si="88"/>
        <v>#DIV/0!</v>
      </c>
      <c r="I208" s="114" t="e">
        <f t="shared" si="88"/>
        <v>#DIV/0!</v>
      </c>
      <c r="J208" s="114"/>
      <c r="K208" s="114" t="e">
        <f t="shared" si="88"/>
        <v>#DIV/0!</v>
      </c>
      <c r="L208" s="114" t="e">
        <f t="shared" si="88"/>
        <v>#DIV/0!</v>
      </c>
      <c r="M208" s="114" t="e">
        <f t="shared" si="88"/>
        <v>#DIV/0!</v>
      </c>
      <c r="N208" s="114" t="e">
        <f t="shared" si="88"/>
        <v>#DIV/0!</v>
      </c>
      <c r="O208" s="114" t="e">
        <f t="shared" si="88"/>
        <v>#DIV/0!</v>
      </c>
      <c r="P208" s="114" t="e">
        <f t="shared" si="88"/>
        <v>#DIV/0!</v>
      </c>
      <c r="Q208" s="114" t="e">
        <f t="shared" si="88"/>
        <v>#DIV/0!</v>
      </c>
      <c r="R208" s="114" t="e">
        <f t="shared" si="88"/>
        <v>#DIV/0!</v>
      </c>
      <c r="S208" s="114" t="e">
        <f t="shared" si="88"/>
        <v>#DIV/0!</v>
      </c>
      <c r="T208" s="114" t="e">
        <f t="shared" si="88"/>
        <v>#DIV/0!</v>
      </c>
      <c r="U208" s="115"/>
      <c r="V208" s="15"/>
      <c r="W208" s="15"/>
      <c r="X208" s="15"/>
      <c r="Y208" s="15"/>
      <c r="Z208" s="15"/>
    </row>
    <row r="209" spans="1:26" s="33" customFormat="1" ht="20.100000000000001" hidden="1" customHeight="1">
      <c r="A209" s="460"/>
      <c r="B209" s="416" t="s">
        <v>133</v>
      </c>
      <c r="C209" s="434"/>
      <c r="D209" s="113">
        <f t="shared" ref="D209:T209" si="89">D133-D71</f>
        <v>0</v>
      </c>
      <c r="E209" s="113">
        <f t="shared" si="89"/>
        <v>0</v>
      </c>
      <c r="F209" s="113">
        <f t="shared" si="89"/>
        <v>0</v>
      </c>
      <c r="G209" s="113">
        <f t="shared" si="89"/>
        <v>0</v>
      </c>
      <c r="H209" s="113">
        <f t="shared" si="89"/>
        <v>0</v>
      </c>
      <c r="I209" s="113">
        <f t="shared" si="89"/>
        <v>0</v>
      </c>
      <c r="J209" s="113"/>
      <c r="K209" s="113">
        <f t="shared" si="89"/>
        <v>0</v>
      </c>
      <c r="L209" s="113">
        <f t="shared" si="89"/>
        <v>0</v>
      </c>
      <c r="M209" s="113">
        <f t="shared" si="89"/>
        <v>0</v>
      </c>
      <c r="N209" s="113">
        <f t="shared" si="89"/>
        <v>0</v>
      </c>
      <c r="O209" s="113">
        <f t="shared" si="89"/>
        <v>0</v>
      </c>
      <c r="P209" s="113">
        <f t="shared" si="89"/>
        <v>0</v>
      </c>
      <c r="Q209" s="113">
        <f t="shared" si="89"/>
        <v>0</v>
      </c>
      <c r="R209" s="113">
        <f t="shared" si="89"/>
        <v>0</v>
      </c>
      <c r="S209" s="113">
        <f t="shared" si="89"/>
        <v>0</v>
      </c>
      <c r="T209" s="113">
        <f t="shared" si="89"/>
        <v>0</v>
      </c>
      <c r="U209" s="115"/>
      <c r="V209" s="15"/>
      <c r="W209" s="15"/>
      <c r="X209" s="15"/>
      <c r="Y209" s="15"/>
      <c r="Z209" s="15"/>
    </row>
    <row r="210" spans="1:26" s="33" customFormat="1" ht="20.100000000000001" hidden="1" customHeight="1">
      <c r="A210" s="460"/>
      <c r="B210" s="417"/>
      <c r="C210" s="435"/>
      <c r="D210" s="114" t="e">
        <f t="shared" ref="D210:T210" si="90">D209/D133</f>
        <v>#DIV/0!</v>
      </c>
      <c r="E210" s="114" t="e">
        <f t="shared" si="90"/>
        <v>#DIV/0!</v>
      </c>
      <c r="F210" s="114" t="e">
        <f t="shared" si="90"/>
        <v>#DIV/0!</v>
      </c>
      <c r="G210" s="114" t="e">
        <f t="shared" si="90"/>
        <v>#DIV/0!</v>
      </c>
      <c r="H210" s="114" t="e">
        <f t="shared" si="90"/>
        <v>#DIV/0!</v>
      </c>
      <c r="I210" s="114" t="e">
        <f t="shared" si="90"/>
        <v>#DIV/0!</v>
      </c>
      <c r="J210" s="114"/>
      <c r="K210" s="114" t="e">
        <f t="shared" si="90"/>
        <v>#DIV/0!</v>
      </c>
      <c r="L210" s="114" t="e">
        <f t="shared" si="90"/>
        <v>#DIV/0!</v>
      </c>
      <c r="M210" s="114" t="e">
        <f t="shared" si="90"/>
        <v>#DIV/0!</v>
      </c>
      <c r="N210" s="114" t="e">
        <f t="shared" si="90"/>
        <v>#DIV/0!</v>
      </c>
      <c r="O210" s="114" t="e">
        <f t="shared" si="90"/>
        <v>#DIV/0!</v>
      </c>
      <c r="P210" s="114" t="e">
        <f t="shared" si="90"/>
        <v>#DIV/0!</v>
      </c>
      <c r="Q210" s="114" t="e">
        <f t="shared" si="90"/>
        <v>#DIV/0!</v>
      </c>
      <c r="R210" s="114" t="e">
        <f t="shared" si="90"/>
        <v>#DIV/0!</v>
      </c>
      <c r="S210" s="114" t="e">
        <f t="shared" si="90"/>
        <v>#DIV/0!</v>
      </c>
      <c r="T210" s="114" t="e">
        <f t="shared" si="90"/>
        <v>#DIV/0!</v>
      </c>
      <c r="U210" s="115"/>
      <c r="V210" s="15"/>
      <c r="W210" s="15"/>
      <c r="X210" s="15"/>
      <c r="Y210" s="15"/>
      <c r="Z210" s="15"/>
    </row>
    <row r="211" spans="1:26" s="33" customFormat="1" ht="20.100000000000001" hidden="1" customHeight="1">
      <c r="A211" s="460"/>
      <c r="B211" s="416" t="s">
        <v>131</v>
      </c>
      <c r="C211" s="434"/>
      <c r="D211" s="113">
        <f t="shared" ref="D211:T211" si="91">D134-D73</f>
        <v>213472</v>
      </c>
      <c r="E211" s="113">
        <f t="shared" si="91"/>
        <v>0</v>
      </c>
      <c r="F211" s="113">
        <f t="shared" si="91"/>
        <v>0</v>
      </c>
      <c r="G211" s="113">
        <f t="shared" si="91"/>
        <v>35549</v>
      </c>
      <c r="H211" s="113">
        <f t="shared" si="91"/>
        <v>0</v>
      </c>
      <c r="I211" s="113">
        <f t="shared" si="91"/>
        <v>0</v>
      </c>
      <c r="J211" s="113"/>
      <c r="K211" s="113">
        <f t="shared" si="91"/>
        <v>0</v>
      </c>
      <c r="L211" s="113">
        <f t="shared" si="91"/>
        <v>0</v>
      </c>
      <c r="M211" s="113">
        <f t="shared" si="91"/>
        <v>0</v>
      </c>
      <c r="N211" s="113">
        <f t="shared" si="91"/>
        <v>0</v>
      </c>
      <c r="O211" s="113">
        <f t="shared" si="91"/>
        <v>0</v>
      </c>
      <c r="P211" s="113">
        <f t="shared" si="91"/>
        <v>0</v>
      </c>
      <c r="Q211" s="113">
        <f t="shared" si="91"/>
        <v>0</v>
      </c>
      <c r="R211" s="113">
        <f t="shared" si="91"/>
        <v>0</v>
      </c>
      <c r="S211" s="113">
        <f t="shared" si="91"/>
        <v>0</v>
      </c>
      <c r="T211" s="113">
        <f t="shared" si="91"/>
        <v>0</v>
      </c>
      <c r="U211" s="115"/>
      <c r="V211" s="15"/>
      <c r="W211" s="15"/>
      <c r="X211" s="15"/>
      <c r="Y211" s="15"/>
      <c r="Z211" s="15"/>
    </row>
    <row r="212" spans="1:26" s="33" customFormat="1" ht="20.100000000000001" hidden="1" customHeight="1">
      <c r="A212" s="460"/>
      <c r="B212" s="417"/>
      <c r="C212" s="435"/>
      <c r="D212" s="114">
        <f t="shared" ref="D212:T212" si="92">D211/D134</f>
        <v>0.14999943786749412</v>
      </c>
      <c r="E212" s="114" t="e">
        <f t="shared" si="92"/>
        <v>#DIV/0!</v>
      </c>
      <c r="F212" s="114" t="e">
        <f t="shared" si="92"/>
        <v>#DIV/0!</v>
      </c>
      <c r="G212" s="114">
        <f t="shared" si="92"/>
        <v>0.53514278402504933</v>
      </c>
      <c r="H212" s="114" t="e">
        <f t="shared" si="92"/>
        <v>#DIV/0!</v>
      </c>
      <c r="I212" s="114" t="e">
        <f t="shared" si="92"/>
        <v>#DIV/0!</v>
      </c>
      <c r="J212" s="114"/>
      <c r="K212" s="114" t="e">
        <f t="shared" si="92"/>
        <v>#DIV/0!</v>
      </c>
      <c r="L212" s="114" t="e">
        <f t="shared" si="92"/>
        <v>#DIV/0!</v>
      </c>
      <c r="M212" s="114" t="e">
        <f t="shared" si="92"/>
        <v>#DIV/0!</v>
      </c>
      <c r="N212" s="114" t="e">
        <f t="shared" si="92"/>
        <v>#DIV/0!</v>
      </c>
      <c r="O212" s="114" t="e">
        <f t="shared" si="92"/>
        <v>#DIV/0!</v>
      </c>
      <c r="P212" s="114" t="e">
        <f t="shared" si="92"/>
        <v>#DIV/0!</v>
      </c>
      <c r="Q212" s="114" t="e">
        <f t="shared" si="92"/>
        <v>#DIV/0!</v>
      </c>
      <c r="R212" s="114" t="e">
        <f t="shared" si="92"/>
        <v>#DIV/0!</v>
      </c>
      <c r="S212" s="114" t="e">
        <f t="shared" si="92"/>
        <v>#DIV/0!</v>
      </c>
      <c r="T212" s="114" t="e">
        <f t="shared" si="92"/>
        <v>#DIV/0!</v>
      </c>
      <c r="U212" s="115"/>
      <c r="V212" s="15"/>
      <c r="W212" s="15"/>
      <c r="X212" s="15"/>
      <c r="Y212" s="15"/>
      <c r="Z212" s="15"/>
    </row>
    <row r="213" spans="1:26" s="33" customFormat="1" ht="20.100000000000001" hidden="1" customHeight="1">
      <c r="A213" s="460"/>
      <c r="B213" s="416" t="s">
        <v>132</v>
      </c>
      <c r="C213" s="434"/>
      <c r="D213" s="113">
        <f t="shared" ref="D213:T213" si="93">D135-D75</f>
        <v>0</v>
      </c>
      <c r="E213" s="113">
        <f t="shared" si="93"/>
        <v>0</v>
      </c>
      <c r="F213" s="113">
        <f t="shared" si="93"/>
        <v>0</v>
      </c>
      <c r="G213" s="113">
        <f t="shared" si="93"/>
        <v>0</v>
      </c>
      <c r="H213" s="113">
        <f t="shared" si="93"/>
        <v>0</v>
      </c>
      <c r="I213" s="113">
        <f t="shared" si="93"/>
        <v>0</v>
      </c>
      <c r="J213" s="113"/>
      <c r="K213" s="113">
        <f t="shared" si="93"/>
        <v>0</v>
      </c>
      <c r="L213" s="113">
        <f t="shared" si="93"/>
        <v>0</v>
      </c>
      <c r="M213" s="113">
        <f t="shared" si="93"/>
        <v>0</v>
      </c>
      <c r="N213" s="113">
        <f t="shared" si="93"/>
        <v>0</v>
      </c>
      <c r="O213" s="113">
        <f t="shared" si="93"/>
        <v>0</v>
      </c>
      <c r="P213" s="113">
        <f t="shared" si="93"/>
        <v>0</v>
      </c>
      <c r="Q213" s="113">
        <f t="shared" si="93"/>
        <v>0</v>
      </c>
      <c r="R213" s="113">
        <f t="shared" si="93"/>
        <v>0</v>
      </c>
      <c r="S213" s="113">
        <f t="shared" si="93"/>
        <v>0</v>
      </c>
      <c r="T213" s="113">
        <f t="shared" si="93"/>
        <v>0</v>
      </c>
      <c r="U213" s="115"/>
      <c r="V213" s="15"/>
      <c r="W213" s="15"/>
      <c r="X213" s="15"/>
      <c r="Y213" s="15"/>
      <c r="Z213" s="15"/>
    </row>
    <row r="214" spans="1:26" s="33" customFormat="1" ht="20.100000000000001" hidden="1" customHeight="1">
      <c r="A214" s="460"/>
      <c r="B214" s="417"/>
      <c r="C214" s="435"/>
      <c r="D214" s="114" t="e">
        <f t="shared" ref="D214:T214" si="94">D213/D135</f>
        <v>#DIV/0!</v>
      </c>
      <c r="E214" s="114" t="e">
        <f t="shared" si="94"/>
        <v>#DIV/0!</v>
      </c>
      <c r="F214" s="114" t="e">
        <f t="shared" si="94"/>
        <v>#DIV/0!</v>
      </c>
      <c r="G214" s="114" t="e">
        <f t="shared" si="94"/>
        <v>#DIV/0!</v>
      </c>
      <c r="H214" s="114" t="e">
        <f t="shared" si="94"/>
        <v>#DIV/0!</v>
      </c>
      <c r="I214" s="114" t="e">
        <f t="shared" si="94"/>
        <v>#DIV/0!</v>
      </c>
      <c r="J214" s="114"/>
      <c r="K214" s="114" t="e">
        <f t="shared" si="94"/>
        <v>#DIV/0!</v>
      </c>
      <c r="L214" s="114" t="e">
        <f t="shared" si="94"/>
        <v>#DIV/0!</v>
      </c>
      <c r="M214" s="114" t="e">
        <f t="shared" si="94"/>
        <v>#DIV/0!</v>
      </c>
      <c r="N214" s="114" t="e">
        <f t="shared" si="94"/>
        <v>#DIV/0!</v>
      </c>
      <c r="O214" s="114" t="e">
        <f t="shared" si="94"/>
        <v>#DIV/0!</v>
      </c>
      <c r="P214" s="114" t="e">
        <f t="shared" si="94"/>
        <v>#DIV/0!</v>
      </c>
      <c r="Q214" s="114" t="e">
        <f t="shared" si="94"/>
        <v>#DIV/0!</v>
      </c>
      <c r="R214" s="114" t="e">
        <f t="shared" si="94"/>
        <v>#DIV/0!</v>
      </c>
      <c r="S214" s="114" t="e">
        <f t="shared" si="94"/>
        <v>#DIV/0!</v>
      </c>
      <c r="T214" s="114" t="e">
        <f t="shared" si="94"/>
        <v>#DIV/0!</v>
      </c>
      <c r="U214" s="115"/>
      <c r="V214" s="15"/>
      <c r="W214" s="15"/>
      <c r="X214" s="15"/>
      <c r="Y214" s="15"/>
      <c r="Z214" s="15"/>
    </row>
    <row r="215" spans="1:26" s="33" customFormat="1" ht="20.100000000000001" hidden="1" customHeight="1">
      <c r="A215" s="460"/>
      <c r="B215" s="416" t="s">
        <v>134</v>
      </c>
      <c r="C215" s="434"/>
      <c r="D215" s="113">
        <f t="shared" ref="D215:T215" si="95">D136-D77</f>
        <v>0</v>
      </c>
      <c r="E215" s="113">
        <f t="shared" si="95"/>
        <v>0</v>
      </c>
      <c r="F215" s="113">
        <f t="shared" si="95"/>
        <v>0</v>
      </c>
      <c r="G215" s="113">
        <f t="shared" si="95"/>
        <v>0</v>
      </c>
      <c r="H215" s="113">
        <f t="shared" si="95"/>
        <v>0</v>
      </c>
      <c r="I215" s="113">
        <f t="shared" si="95"/>
        <v>0</v>
      </c>
      <c r="J215" s="113"/>
      <c r="K215" s="113">
        <f t="shared" si="95"/>
        <v>0</v>
      </c>
      <c r="L215" s="113">
        <f t="shared" si="95"/>
        <v>0</v>
      </c>
      <c r="M215" s="113">
        <f t="shared" si="95"/>
        <v>0</v>
      </c>
      <c r="N215" s="113">
        <f t="shared" si="95"/>
        <v>0</v>
      </c>
      <c r="O215" s="113">
        <f t="shared" si="95"/>
        <v>0</v>
      </c>
      <c r="P215" s="113">
        <f t="shared" si="95"/>
        <v>0</v>
      </c>
      <c r="Q215" s="113">
        <f t="shared" si="95"/>
        <v>0</v>
      </c>
      <c r="R215" s="113">
        <f t="shared" si="95"/>
        <v>0</v>
      </c>
      <c r="S215" s="113">
        <f t="shared" si="95"/>
        <v>0</v>
      </c>
      <c r="T215" s="113">
        <f t="shared" si="95"/>
        <v>0</v>
      </c>
      <c r="U215" s="115"/>
      <c r="V215" s="15"/>
      <c r="W215" s="15"/>
      <c r="X215" s="15"/>
      <c r="Y215" s="15"/>
      <c r="Z215" s="15"/>
    </row>
    <row r="216" spans="1:26" s="33" customFormat="1" ht="20.100000000000001" hidden="1" customHeight="1">
      <c r="A216" s="460"/>
      <c r="B216" s="417"/>
      <c r="C216" s="435"/>
      <c r="D216" s="114" t="e">
        <f t="shared" ref="D216:T216" si="96">D215/D136</f>
        <v>#DIV/0!</v>
      </c>
      <c r="E216" s="114" t="e">
        <f t="shared" si="96"/>
        <v>#DIV/0!</v>
      </c>
      <c r="F216" s="114" t="e">
        <f t="shared" si="96"/>
        <v>#DIV/0!</v>
      </c>
      <c r="G216" s="114" t="e">
        <f t="shared" si="96"/>
        <v>#DIV/0!</v>
      </c>
      <c r="H216" s="114" t="e">
        <f t="shared" si="96"/>
        <v>#DIV/0!</v>
      </c>
      <c r="I216" s="114" t="e">
        <f t="shared" si="96"/>
        <v>#DIV/0!</v>
      </c>
      <c r="J216" s="114"/>
      <c r="K216" s="114" t="e">
        <f t="shared" si="96"/>
        <v>#DIV/0!</v>
      </c>
      <c r="L216" s="114" t="e">
        <f t="shared" si="96"/>
        <v>#DIV/0!</v>
      </c>
      <c r="M216" s="114" t="e">
        <f t="shared" si="96"/>
        <v>#DIV/0!</v>
      </c>
      <c r="N216" s="114" t="e">
        <f t="shared" si="96"/>
        <v>#DIV/0!</v>
      </c>
      <c r="O216" s="114" t="e">
        <f t="shared" si="96"/>
        <v>#DIV/0!</v>
      </c>
      <c r="P216" s="114" t="e">
        <f t="shared" si="96"/>
        <v>#DIV/0!</v>
      </c>
      <c r="Q216" s="114" t="e">
        <f t="shared" si="96"/>
        <v>#DIV/0!</v>
      </c>
      <c r="R216" s="114" t="e">
        <f t="shared" si="96"/>
        <v>#DIV/0!</v>
      </c>
      <c r="S216" s="114" t="e">
        <f t="shared" si="96"/>
        <v>#DIV/0!</v>
      </c>
      <c r="T216" s="114" t="e">
        <f t="shared" si="96"/>
        <v>#DIV/0!</v>
      </c>
      <c r="U216" s="115"/>
      <c r="V216" s="15"/>
      <c r="W216" s="15"/>
      <c r="X216" s="15"/>
      <c r="Y216" s="15"/>
      <c r="Z216" s="15"/>
    </row>
    <row r="217" spans="1:26" s="33" customFormat="1" ht="20.100000000000001" hidden="1" customHeight="1">
      <c r="A217" s="460"/>
      <c r="B217" s="416" t="s">
        <v>135</v>
      </c>
      <c r="C217" s="434"/>
      <c r="D217" s="113">
        <f t="shared" ref="D217:T217" si="97">D137-D79</f>
        <v>0</v>
      </c>
      <c r="E217" s="113">
        <f t="shared" si="97"/>
        <v>74000</v>
      </c>
      <c r="F217" s="113">
        <f t="shared" si="97"/>
        <v>24000</v>
      </c>
      <c r="G217" s="113">
        <f t="shared" si="97"/>
        <v>0</v>
      </c>
      <c r="H217" s="113">
        <f t="shared" si="97"/>
        <v>0</v>
      </c>
      <c r="I217" s="113">
        <f t="shared" si="97"/>
        <v>0</v>
      </c>
      <c r="J217" s="113"/>
      <c r="K217" s="113">
        <f t="shared" si="97"/>
        <v>0</v>
      </c>
      <c r="L217" s="113">
        <f t="shared" si="97"/>
        <v>0</v>
      </c>
      <c r="M217" s="113">
        <f t="shared" si="97"/>
        <v>0</v>
      </c>
      <c r="N217" s="113">
        <f t="shared" si="97"/>
        <v>0</v>
      </c>
      <c r="O217" s="113">
        <f t="shared" si="97"/>
        <v>0</v>
      </c>
      <c r="P217" s="113">
        <f t="shared" si="97"/>
        <v>0</v>
      </c>
      <c r="Q217" s="113">
        <f t="shared" si="97"/>
        <v>0</v>
      </c>
      <c r="R217" s="113">
        <f t="shared" si="97"/>
        <v>0</v>
      </c>
      <c r="S217" s="113">
        <f t="shared" si="97"/>
        <v>0</v>
      </c>
      <c r="T217" s="113">
        <f t="shared" si="97"/>
        <v>0</v>
      </c>
      <c r="U217" s="115"/>
      <c r="V217" s="15"/>
      <c r="W217" s="15"/>
      <c r="X217" s="15"/>
      <c r="Y217" s="15"/>
      <c r="Z217" s="15"/>
    </row>
    <row r="218" spans="1:26" s="33" customFormat="1" ht="20.100000000000001" hidden="1" customHeight="1">
      <c r="A218" s="460"/>
      <c r="B218" s="417"/>
      <c r="C218" s="435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5"/>
      <c r="V218" s="15"/>
      <c r="W218" s="15"/>
      <c r="X218" s="15"/>
      <c r="Y218" s="15"/>
      <c r="Z218" s="15"/>
    </row>
    <row r="219" spans="1:26" s="33" customFormat="1" ht="20.100000000000001" hidden="1" customHeight="1">
      <c r="A219" s="460"/>
      <c r="B219" s="416" t="s">
        <v>230</v>
      </c>
      <c r="C219" s="43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5"/>
      <c r="V219" s="15"/>
      <c r="W219" s="15"/>
      <c r="X219" s="15"/>
      <c r="Y219" s="15"/>
      <c r="Z219" s="15"/>
    </row>
    <row r="220" spans="1:26" s="33" customFormat="1" ht="20.100000000000001" hidden="1" customHeight="1">
      <c r="A220" s="460"/>
      <c r="B220" s="417"/>
      <c r="C220" s="435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5"/>
      <c r="V220" s="15"/>
      <c r="W220" s="15"/>
      <c r="X220" s="15"/>
      <c r="Y220" s="15"/>
      <c r="Z220" s="15"/>
    </row>
    <row r="221" spans="1:26" s="33" customFormat="1" ht="20.100000000000001" hidden="1" customHeight="1">
      <c r="A221" s="460"/>
      <c r="B221" s="416" t="s">
        <v>231</v>
      </c>
      <c r="C221" s="43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5"/>
      <c r="V221" s="15"/>
      <c r="W221" s="15"/>
      <c r="X221" s="15"/>
      <c r="Y221" s="15"/>
      <c r="Z221" s="15"/>
    </row>
    <row r="222" spans="1:26" s="33" customFormat="1" ht="20.100000000000001" hidden="1" customHeight="1">
      <c r="A222" s="460"/>
      <c r="B222" s="417"/>
      <c r="C222" s="435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5"/>
      <c r="V222" s="15"/>
      <c r="W222" s="15"/>
      <c r="X222" s="15"/>
      <c r="Y222" s="15"/>
      <c r="Z222" s="15"/>
    </row>
    <row r="223" spans="1:26" s="33" customFormat="1" ht="20.100000000000001" hidden="1" customHeight="1">
      <c r="A223" s="460"/>
      <c r="B223" s="416" t="s">
        <v>236</v>
      </c>
      <c r="C223" s="43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5"/>
      <c r="V223" s="15"/>
      <c r="W223" s="15"/>
      <c r="X223" s="15"/>
      <c r="Y223" s="15"/>
      <c r="Z223" s="15"/>
    </row>
    <row r="224" spans="1:26" s="33" customFormat="1" ht="20.100000000000001" hidden="1" customHeight="1">
      <c r="A224" s="460"/>
      <c r="B224" s="417"/>
      <c r="C224" s="435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5"/>
      <c r="V224" s="15"/>
      <c r="W224" s="15"/>
      <c r="X224" s="15"/>
      <c r="Y224" s="15"/>
      <c r="Z224" s="15"/>
    </row>
    <row r="225" spans="1:26" s="33" customFormat="1" ht="20.100000000000001" hidden="1" customHeight="1">
      <c r="A225" s="460"/>
      <c r="B225" s="416" t="s">
        <v>143</v>
      </c>
      <c r="C225" s="125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5"/>
      <c r="V225" s="15"/>
      <c r="W225" s="15"/>
      <c r="X225" s="15"/>
      <c r="Y225" s="15"/>
      <c r="Z225" s="15"/>
    </row>
    <row r="226" spans="1:26" s="33" customFormat="1" ht="20.100000000000001" hidden="1" customHeight="1">
      <c r="A226" s="460"/>
      <c r="B226" s="417"/>
      <c r="C226" s="125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5"/>
      <c r="V226" s="15"/>
      <c r="W226" s="15"/>
      <c r="X226" s="15"/>
      <c r="Y226" s="15"/>
      <c r="Z226" s="15"/>
    </row>
    <row r="227" spans="1:26" s="33" customFormat="1" ht="20.100000000000001" hidden="1" customHeight="1">
      <c r="A227" s="460"/>
      <c r="B227" s="418" t="s">
        <v>56</v>
      </c>
      <c r="C227" s="419"/>
      <c r="D227" s="113">
        <f t="shared" ref="D227:T227" si="98">D145-D93</f>
        <v>0</v>
      </c>
      <c r="E227" s="113">
        <f t="shared" si="98"/>
        <v>0</v>
      </c>
      <c r="F227" s="113">
        <f t="shared" si="98"/>
        <v>0</v>
      </c>
      <c r="G227" s="113">
        <f t="shared" si="98"/>
        <v>0</v>
      </c>
      <c r="H227" s="113">
        <f t="shared" si="98"/>
        <v>17600</v>
      </c>
      <c r="I227" s="113">
        <f t="shared" si="98"/>
        <v>0</v>
      </c>
      <c r="J227" s="113"/>
      <c r="K227" s="113">
        <f t="shared" si="98"/>
        <v>0</v>
      </c>
      <c r="L227" s="113">
        <f t="shared" si="98"/>
        <v>0</v>
      </c>
      <c r="M227" s="113">
        <f t="shared" si="98"/>
        <v>0</v>
      </c>
      <c r="N227" s="113">
        <f t="shared" si="98"/>
        <v>0</v>
      </c>
      <c r="O227" s="113">
        <f t="shared" si="98"/>
        <v>0</v>
      </c>
      <c r="P227" s="113">
        <f t="shared" si="98"/>
        <v>0</v>
      </c>
      <c r="Q227" s="113">
        <f t="shared" si="98"/>
        <v>0</v>
      </c>
      <c r="R227" s="113">
        <f t="shared" si="98"/>
        <v>0</v>
      </c>
      <c r="S227" s="113">
        <f t="shared" si="98"/>
        <v>0</v>
      </c>
      <c r="T227" s="113">
        <f t="shared" si="98"/>
        <v>0</v>
      </c>
      <c r="U227" s="73">
        <f>SUM(D227:Q227)</f>
        <v>17600</v>
      </c>
      <c r="V227" s="15"/>
      <c r="W227" s="15"/>
      <c r="X227" s="15"/>
      <c r="Y227" s="15"/>
      <c r="Z227" s="15"/>
    </row>
    <row r="228" spans="1:26" s="33" customFormat="1" ht="20.100000000000001" hidden="1" customHeight="1">
      <c r="A228" s="460"/>
      <c r="B228" s="420"/>
      <c r="C228" s="421"/>
      <c r="D228" s="114" t="e">
        <f t="shared" ref="D228:T228" si="99">D227/D145</f>
        <v>#DIV/0!</v>
      </c>
      <c r="E228" s="114" t="e">
        <f t="shared" si="99"/>
        <v>#DIV/0!</v>
      </c>
      <c r="F228" s="114" t="e">
        <f t="shared" si="99"/>
        <v>#DIV/0!</v>
      </c>
      <c r="G228" s="114" t="e">
        <f t="shared" si="99"/>
        <v>#DIV/0!</v>
      </c>
      <c r="H228" s="114">
        <f t="shared" si="99"/>
        <v>0.08</v>
      </c>
      <c r="I228" s="114" t="e">
        <f t="shared" si="99"/>
        <v>#DIV/0!</v>
      </c>
      <c r="J228" s="114"/>
      <c r="K228" s="114" t="e">
        <f t="shared" si="99"/>
        <v>#DIV/0!</v>
      </c>
      <c r="L228" s="114" t="e">
        <f t="shared" si="99"/>
        <v>#DIV/0!</v>
      </c>
      <c r="M228" s="114" t="e">
        <f t="shared" si="99"/>
        <v>#DIV/0!</v>
      </c>
      <c r="N228" s="114" t="e">
        <f t="shared" si="99"/>
        <v>#DIV/0!</v>
      </c>
      <c r="O228" s="114" t="e">
        <f t="shared" si="99"/>
        <v>#DIV/0!</v>
      </c>
      <c r="P228" s="114" t="e">
        <f t="shared" si="99"/>
        <v>#DIV/0!</v>
      </c>
      <c r="Q228" s="114" t="e">
        <f t="shared" si="99"/>
        <v>#DIV/0!</v>
      </c>
      <c r="R228" s="114" t="e">
        <f t="shared" si="99"/>
        <v>#DIV/0!</v>
      </c>
      <c r="S228" s="114" t="e">
        <f t="shared" si="99"/>
        <v>#DIV/0!</v>
      </c>
      <c r="T228" s="114" t="e">
        <f t="shared" si="99"/>
        <v>#DIV/0!</v>
      </c>
      <c r="U228" s="115">
        <f>U227/U137</f>
        <v>3.5918367346938776E-2</v>
      </c>
      <c r="V228" s="15"/>
      <c r="W228" s="15"/>
      <c r="X228" s="15"/>
      <c r="Y228" s="15"/>
      <c r="Z228" s="15"/>
    </row>
    <row r="229" spans="1:26" s="33" customFormat="1" ht="20.100000000000001" hidden="1" customHeight="1">
      <c r="A229" s="460"/>
      <c r="B229" s="422" t="s">
        <v>136</v>
      </c>
      <c r="C229" s="423"/>
      <c r="D229" s="113">
        <f t="shared" ref="D229:T229" si="100">D146-D95</f>
        <v>0</v>
      </c>
      <c r="E229" s="113">
        <f t="shared" si="100"/>
        <v>0</v>
      </c>
      <c r="F229" s="113">
        <f t="shared" si="100"/>
        <v>0</v>
      </c>
      <c r="G229" s="113">
        <f t="shared" si="100"/>
        <v>45676.235294117709</v>
      </c>
      <c r="H229" s="113">
        <f t="shared" si="100"/>
        <v>0</v>
      </c>
      <c r="I229" s="113">
        <f t="shared" si="100"/>
        <v>0</v>
      </c>
      <c r="J229" s="113"/>
      <c r="K229" s="113">
        <f t="shared" si="100"/>
        <v>0</v>
      </c>
      <c r="L229" s="113">
        <f t="shared" si="100"/>
        <v>0</v>
      </c>
      <c r="M229" s="113">
        <f t="shared" si="100"/>
        <v>0</v>
      </c>
      <c r="N229" s="113">
        <f t="shared" si="100"/>
        <v>0</v>
      </c>
      <c r="O229" s="113">
        <f t="shared" si="100"/>
        <v>0</v>
      </c>
      <c r="P229" s="113">
        <f t="shared" si="100"/>
        <v>0</v>
      </c>
      <c r="Q229" s="113">
        <f t="shared" si="100"/>
        <v>0</v>
      </c>
      <c r="R229" s="113">
        <f t="shared" si="100"/>
        <v>0</v>
      </c>
      <c r="S229" s="113">
        <f t="shared" si="100"/>
        <v>0</v>
      </c>
      <c r="T229" s="113">
        <f t="shared" si="100"/>
        <v>0</v>
      </c>
      <c r="U229" s="115"/>
      <c r="V229" s="15"/>
      <c r="W229" s="15"/>
      <c r="X229" s="15"/>
      <c r="Y229" s="15"/>
      <c r="Z229" s="15"/>
    </row>
    <row r="230" spans="1:26" s="33" customFormat="1" ht="20.100000000000001" hidden="1" customHeight="1">
      <c r="A230" s="461"/>
      <c r="B230" s="424"/>
      <c r="C230" s="425"/>
      <c r="D230" s="114" t="e">
        <f t="shared" ref="D230:T230" si="101">D229/D146</f>
        <v>#DIV/0!</v>
      </c>
      <c r="E230" s="114" t="e">
        <f t="shared" si="101"/>
        <v>#DIV/0!</v>
      </c>
      <c r="F230" s="114" t="e">
        <f t="shared" si="101"/>
        <v>#DIV/0!</v>
      </c>
      <c r="G230" s="114">
        <f t="shared" si="101"/>
        <v>0.15000197041594338</v>
      </c>
      <c r="H230" s="114" t="e">
        <f t="shared" si="101"/>
        <v>#DIV/0!</v>
      </c>
      <c r="I230" s="114" t="e">
        <f t="shared" si="101"/>
        <v>#DIV/0!</v>
      </c>
      <c r="J230" s="114"/>
      <c r="K230" s="114" t="e">
        <f t="shared" si="101"/>
        <v>#DIV/0!</v>
      </c>
      <c r="L230" s="114" t="e">
        <f t="shared" si="101"/>
        <v>#DIV/0!</v>
      </c>
      <c r="M230" s="114" t="e">
        <f t="shared" si="101"/>
        <v>#DIV/0!</v>
      </c>
      <c r="N230" s="114" t="e">
        <f t="shared" si="101"/>
        <v>#DIV/0!</v>
      </c>
      <c r="O230" s="114" t="e">
        <f t="shared" si="101"/>
        <v>#DIV/0!</v>
      </c>
      <c r="P230" s="114" t="e">
        <f t="shared" si="101"/>
        <v>#DIV/0!</v>
      </c>
      <c r="Q230" s="114" t="e">
        <f t="shared" si="101"/>
        <v>#DIV/0!</v>
      </c>
      <c r="R230" s="114" t="e">
        <f t="shared" si="101"/>
        <v>#DIV/0!</v>
      </c>
      <c r="S230" s="114" t="e">
        <f t="shared" si="101"/>
        <v>#DIV/0!</v>
      </c>
      <c r="T230" s="114" t="e">
        <f t="shared" si="101"/>
        <v>#DIV/0!</v>
      </c>
      <c r="U230" s="115"/>
      <c r="V230" s="15"/>
      <c r="W230" s="15"/>
      <c r="X230" s="15"/>
      <c r="Y230" s="15"/>
      <c r="Z230" s="15"/>
    </row>
    <row r="231" spans="1:26" s="33" customFormat="1" ht="20.100000000000001" hidden="1" customHeight="1">
      <c r="A231" s="108"/>
      <c r="B231" s="422" t="s">
        <v>137</v>
      </c>
      <c r="C231" s="423"/>
      <c r="D231" s="74">
        <f t="shared" ref="D231:T231" si="102">D147-D99</f>
        <v>-900</v>
      </c>
      <c r="E231" s="74">
        <f t="shared" si="102"/>
        <v>-1399</v>
      </c>
      <c r="F231" s="74">
        <f t="shared" si="102"/>
        <v>0</v>
      </c>
      <c r="G231" s="74">
        <f t="shared" si="102"/>
        <v>2266</v>
      </c>
      <c r="H231" s="74"/>
      <c r="I231" s="74">
        <f>I148-I99</f>
        <v>512100</v>
      </c>
      <c r="J231" s="74"/>
      <c r="K231" s="74">
        <f>K148-K99</f>
        <v>0</v>
      </c>
      <c r="L231" s="74">
        <f>L147-L99</f>
        <v>0</v>
      </c>
      <c r="M231" s="74">
        <f>M147-M99</f>
        <v>0</v>
      </c>
      <c r="N231" s="74">
        <f>N147-N99</f>
        <v>0</v>
      </c>
      <c r="O231" s="74">
        <f t="shared" si="102"/>
        <v>0</v>
      </c>
      <c r="P231" s="74">
        <f t="shared" si="102"/>
        <v>0</v>
      </c>
      <c r="Q231" s="74">
        <f t="shared" si="102"/>
        <v>0</v>
      </c>
      <c r="R231" s="74">
        <f t="shared" si="102"/>
        <v>0</v>
      </c>
      <c r="S231" s="74">
        <f t="shared" si="102"/>
        <v>0</v>
      </c>
      <c r="T231" s="74">
        <f t="shared" si="102"/>
        <v>0</v>
      </c>
      <c r="U231" s="115"/>
      <c r="V231" s="15"/>
      <c r="W231" s="15"/>
      <c r="X231" s="15"/>
      <c r="Y231" s="15"/>
      <c r="Z231" s="15"/>
    </row>
    <row r="232" spans="1:26" s="33" customFormat="1" ht="20.100000000000001" hidden="1" customHeight="1">
      <c r="A232" s="318"/>
      <c r="B232" s="426"/>
      <c r="C232" s="427"/>
      <c r="D232" s="338">
        <f t="shared" ref="D232:T232" si="103">D231/D147</f>
        <v>-3.0597154464634788E-3</v>
      </c>
      <c r="E232" s="338">
        <f t="shared" si="103"/>
        <v>-8.5710959852471763E-3</v>
      </c>
      <c r="F232" s="338">
        <f t="shared" si="103"/>
        <v>0</v>
      </c>
      <c r="G232" s="338">
        <f t="shared" si="103"/>
        <v>9.9992939598263133E-3</v>
      </c>
      <c r="H232" s="338"/>
      <c r="I232" s="338">
        <f>I231/I148</f>
        <v>1</v>
      </c>
      <c r="J232" s="338"/>
      <c r="K232" s="338" t="e">
        <f>K231/K148</f>
        <v>#DIV/0!</v>
      </c>
      <c r="L232" s="338" t="e">
        <f t="shared" si="103"/>
        <v>#DIV/0!</v>
      </c>
      <c r="M232" s="338" t="e">
        <f t="shared" si="103"/>
        <v>#DIV/0!</v>
      </c>
      <c r="N232" s="338" t="e">
        <f t="shared" si="103"/>
        <v>#DIV/0!</v>
      </c>
      <c r="O232" s="338" t="e">
        <f t="shared" si="103"/>
        <v>#DIV/0!</v>
      </c>
      <c r="P232" s="338" t="e">
        <f t="shared" si="103"/>
        <v>#DIV/0!</v>
      </c>
      <c r="Q232" s="338" t="e">
        <f t="shared" si="103"/>
        <v>#DIV/0!</v>
      </c>
      <c r="R232" s="338" t="e">
        <f t="shared" si="103"/>
        <v>#DIV/0!</v>
      </c>
      <c r="S232" s="338" t="e">
        <f t="shared" si="103"/>
        <v>#DIV/0!</v>
      </c>
      <c r="T232" s="338" t="e">
        <f t="shared" si="103"/>
        <v>#DIV/0!</v>
      </c>
      <c r="U232" s="295"/>
      <c r="V232" s="15"/>
      <c r="W232" s="15"/>
      <c r="X232" s="15"/>
      <c r="Y232" s="15"/>
      <c r="Z232" s="15"/>
    </row>
    <row r="233" spans="1:26" s="33" customFormat="1" ht="20.100000000000001" customHeight="1">
      <c r="A233" s="428" t="s">
        <v>57</v>
      </c>
      <c r="B233" s="430" t="s">
        <v>58</v>
      </c>
      <c r="C233" s="431"/>
      <c r="D233" s="339">
        <f>D153+D155+D157+D159+D161+D163+D165+D167+D169+D171+D173+D175+D177+D179+D181+D183+D185+D187+D189+D191+D193+D197+D199+D201+D203+D205+D207+D209+D211+D213+D215+D217+D227+D229+D225+D195</f>
        <v>1129235.7894736843</v>
      </c>
      <c r="E233" s="339">
        <f t="shared" ref="E233:P233" si="104">E153+E155+E157+E159+E161+E163+E165+E167+E169+E171+E173+E175+E177+E179+E181+E183+E185+E187+E189+E191+E193+E197+E199+E201+E203+E205+E207+E209+E211+E213+E215+E217+E227+E229+E225+E195</f>
        <v>195656</v>
      </c>
      <c r="F233" s="339">
        <f>F153+F155+F157+F159+F161+F163+F165+F167+F169+F171+F173+F175+F177+F179+F181+F183+F185+F187+F189+F191+F193+F197+F199+F201+F203+F205+F207+F209+F211+F213+F215+F217+F227+F229+F225+F195</f>
        <v>27582</v>
      </c>
      <c r="G233" s="339">
        <f t="shared" si="104"/>
        <v>533445.23529411771</v>
      </c>
      <c r="H233" s="339"/>
      <c r="I233" s="339">
        <f>I153+I155+I157+I159+I161+I163+I165+I167+I169+I171+I173+I175+I177+I179+I181+I183+I185+I187+I189+I191+I193+I197+I199+I201+I203+I205+I207+I209+I211+I213+I215+I217+I227+I229+I225+I195</f>
        <v>27000</v>
      </c>
      <c r="J233" s="339"/>
      <c r="K233" s="339">
        <f t="shared" si="104"/>
        <v>0</v>
      </c>
      <c r="L233" s="339">
        <f t="shared" si="104"/>
        <v>0</v>
      </c>
      <c r="M233" s="339">
        <f t="shared" si="104"/>
        <v>0</v>
      </c>
      <c r="N233" s="339">
        <f t="shared" si="104"/>
        <v>0</v>
      </c>
      <c r="O233" s="339">
        <f t="shared" si="104"/>
        <v>0</v>
      </c>
      <c r="P233" s="339">
        <f t="shared" si="104"/>
        <v>0</v>
      </c>
      <c r="Q233" s="339">
        <f>Q153+Q157+Q155+Q165+Q163+Q161+Q167+Q169+Q173+Q159+(Q146-Q99)+Q227+Q185+Q187+Q175+Q179+Q183+Q193+Q191+Q181+Q197+Q201+Q203+Q199+Q189+Q177+Q171</f>
        <v>0</v>
      </c>
      <c r="R233" s="339">
        <f>R153+R157+R155+R165+R163+R161+R167+R169+R173+R159+(R146-R99)+R227+R185+R187+R175+R179+R183+R193+R191+R181+R197+R201+R203+R199+R189+R177+R171</f>
        <v>0</v>
      </c>
      <c r="S233" s="339">
        <f>S153+S157+S155+S165+S163+S161+S167+S169+S173+S159+(S146-S99)+S227+S185+S187+S175+S179+S183+S193+S191+S181+S197+S201+S203+S199+S189+S177+S171</f>
        <v>0</v>
      </c>
      <c r="T233" s="339">
        <f>T153+T157+T155+T165+T163+T161+T167+T169+T173+T159+(T146-T99)+T227+T185+T187+T175+T179+T183+T193+T191+T181+T197+T201+T203+T199+T189+T177+T171</f>
        <v>0</v>
      </c>
      <c r="U233" s="335">
        <f>SUM(D233:T233)</f>
        <v>1912919.0247678021</v>
      </c>
      <c r="V233" s="23">
        <f>P233+Q233</f>
        <v>0</v>
      </c>
      <c r="W233" s="23">
        <f>V233+144000</f>
        <v>144000</v>
      </c>
      <c r="X233" s="15"/>
      <c r="Y233" s="15"/>
      <c r="Z233" s="15"/>
    </row>
    <row r="234" spans="1:26" s="33" customFormat="1" ht="20.100000000000001" customHeight="1">
      <c r="A234" s="429"/>
      <c r="B234" s="432" t="s">
        <v>59</v>
      </c>
      <c r="C234" s="433"/>
      <c r="D234" s="115">
        <f>D233/(D148-D147)</f>
        <v>0.19666971150340004</v>
      </c>
      <c r="E234" s="115">
        <f t="shared" ref="E234:P234" si="105">E233/(E148-E147)</f>
        <v>0.13164708225453098</v>
      </c>
      <c r="F234" s="115">
        <f>F233/(F148-F147)</f>
        <v>0.2034340841704651</v>
      </c>
      <c r="G234" s="115">
        <f t="shared" si="105"/>
        <v>0.17424814711077791</v>
      </c>
      <c r="H234" s="115"/>
      <c r="I234" s="115" t="e">
        <f>I233/(#REF!-I148)</f>
        <v>#REF!</v>
      </c>
      <c r="J234" s="115"/>
      <c r="K234" s="115" t="e">
        <f>K233/(#REF!-K148)</f>
        <v>#REF!</v>
      </c>
      <c r="L234" s="115" t="e">
        <f t="shared" si="105"/>
        <v>#DIV/0!</v>
      </c>
      <c r="M234" s="115" t="e">
        <f t="shared" si="105"/>
        <v>#DIV/0!</v>
      </c>
      <c r="N234" s="115" t="e">
        <f t="shared" si="105"/>
        <v>#DIV/0!</v>
      </c>
      <c r="O234" s="115" t="e">
        <f t="shared" si="105"/>
        <v>#DIV/0!</v>
      </c>
      <c r="P234" s="115" t="e">
        <f t="shared" si="105"/>
        <v>#DIV/0!</v>
      </c>
      <c r="Q234" s="115" t="e">
        <f>Q233/Q148</f>
        <v>#DIV/0!</v>
      </c>
      <c r="R234" s="115" t="e">
        <f>R233/R148</f>
        <v>#DIV/0!</v>
      </c>
      <c r="S234" s="115"/>
      <c r="T234" s="115"/>
      <c r="U234" s="340">
        <f>U233/U148</f>
        <v>0.1151761024254262</v>
      </c>
      <c r="V234" s="15"/>
      <c r="W234" s="15"/>
      <c r="X234" s="15"/>
      <c r="Y234" s="15"/>
      <c r="Z234" s="15"/>
    </row>
    <row r="235" spans="1:26" s="33" customFormat="1" ht="20.100000000000001" customHeight="1">
      <c r="A235" s="341"/>
      <c r="B235" s="217" t="s">
        <v>227</v>
      </c>
      <c r="C235" s="216"/>
      <c r="D235" s="292">
        <f t="shared" ref="D235:P235" si="106">D233+D231</f>
        <v>1128335.7894736843</v>
      </c>
      <c r="E235" s="292">
        <f t="shared" si="106"/>
        <v>194257</v>
      </c>
      <c r="F235" s="292">
        <f t="shared" si="106"/>
        <v>27582</v>
      </c>
      <c r="G235" s="292">
        <f t="shared" si="106"/>
        <v>535711.23529411771</v>
      </c>
      <c r="H235" s="292"/>
      <c r="I235" s="292">
        <f t="shared" si="106"/>
        <v>539100</v>
      </c>
      <c r="J235" s="292"/>
      <c r="K235" s="292">
        <f t="shared" si="106"/>
        <v>0</v>
      </c>
      <c r="L235" s="292">
        <f t="shared" si="106"/>
        <v>0</v>
      </c>
      <c r="M235" s="292">
        <f t="shared" si="106"/>
        <v>0</v>
      </c>
      <c r="N235" s="292">
        <f t="shared" si="106"/>
        <v>0</v>
      </c>
      <c r="O235" s="292">
        <f t="shared" si="106"/>
        <v>0</v>
      </c>
      <c r="P235" s="292">
        <f t="shared" si="106"/>
        <v>0</v>
      </c>
      <c r="Q235" s="295"/>
      <c r="R235" s="115"/>
      <c r="S235" s="115"/>
      <c r="T235" s="115"/>
      <c r="U235" s="342">
        <f>SUM(D235:P235)</f>
        <v>2424986.0247678021</v>
      </c>
      <c r="V235" s="15"/>
      <c r="W235" s="15"/>
      <c r="X235" s="15"/>
      <c r="Y235" s="15"/>
      <c r="Z235" s="15"/>
    </row>
    <row r="236" spans="1:26" s="33" customFormat="1" ht="20.100000000000001" customHeight="1" thickBot="1">
      <c r="A236" s="343"/>
      <c r="B236" s="344" t="s">
        <v>228</v>
      </c>
      <c r="C236" s="345"/>
      <c r="D236" s="331">
        <f t="shared" ref="D236:T236" si="107">D235/D148</f>
        <v>0.18693643376652527</v>
      </c>
      <c r="E236" s="331">
        <f t="shared" si="107"/>
        <v>0.11777155748105871</v>
      </c>
      <c r="F236" s="331">
        <f t="shared" si="107"/>
        <v>0.1460276786565157</v>
      </c>
      <c r="G236" s="331">
        <f t="shared" si="107"/>
        <v>0.16292785824391073</v>
      </c>
      <c r="H236" s="331"/>
      <c r="I236" s="331" t="e">
        <f>I235/#REF!</f>
        <v>#REF!</v>
      </c>
      <c r="J236" s="331"/>
      <c r="K236" s="331" t="e">
        <f>K235/#REF!</f>
        <v>#REF!</v>
      </c>
      <c r="L236" s="331" t="e">
        <f t="shared" si="107"/>
        <v>#DIV/0!</v>
      </c>
      <c r="M236" s="331" t="e">
        <f t="shared" si="107"/>
        <v>#DIV/0!</v>
      </c>
      <c r="N236" s="331" t="e">
        <f t="shared" si="107"/>
        <v>#DIV/0!</v>
      </c>
      <c r="O236" s="331" t="e">
        <f t="shared" si="107"/>
        <v>#DIV/0!</v>
      </c>
      <c r="P236" s="331" t="e">
        <f t="shared" si="107"/>
        <v>#DIV/0!</v>
      </c>
      <c r="Q236" s="331" t="e">
        <f t="shared" si="107"/>
        <v>#DIV/0!</v>
      </c>
      <c r="R236" s="331" t="e">
        <f t="shared" si="107"/>
        <v>#DIV/0!</v>
      </c>
      <c r="S236" s="331" t="e">
        <f t="shared" si="107"/>
        <v>#DIV/0!</v>
      </c>
      <c r="T236" s="331" t="e">
        <f t="shared" si="107"/>
        <v>#DIV/0!</v>
      </c>
      <c r="U236" s="337">
        <f>U235/U148</f>
        <v>0.14600745517849931</v>
      </c>
      <c r="V236" s="15"/>
      <c r="W236" s="15"/>
      <c r="X236" s="15"/>
      <c r="Y236" s="15"/>
      <c r="Z236" s="15"/>
    </row>
    <row r="237" spans="1:26" s="33" customFormat="1" ht="15" customHeight="1">
      <c r="A237" s="412" t="s">
        <v>60</v>
      </c>
      <c r="B237" s="413"/>
      <c r="C237" s="413"/>
      <c r="D237" s="408">
        <f t="shared" ref="D237:T237" si="108">D148</f>
        <v>6035933</v>
      </c>
      <c r="E237" s="408">
        <f>E148</f>
        <v>1649439</v>
      </c>
      <c r="F237" s="408">
        <f t="shared" si="108"/>
        <v>188882</v>
      </c>
      <c r="G237" s="408">
        <f t="shared" si="108"/>
        <v>3288027.2352941176</v>
      </c>
      <c r="H237" s="408">
        <f>H148-21600</f>
        <v>4912664</v>
      </c>
      <c r="I237" s="408">
        <f t="shared" si="108"/>
        <v>512100</v>
      </c>
      <c r="J237" s="408">
        <f t="shared" si="108"/>
        <v>0</v>
      </c>
      <c r="K237" s="408">
        <f t="shared" si="108"/>
        <v>0</v>
      </c>
      <c r="L237" s="408">
        <f t="shared" si="108"/>
        <v>0</v>
      </c>
      <c r="M237" s="408">
        <f t="shared" si="108"/>
        <v>0</v>
      </c>
      <c r="N237" s="408">
        <f t="shared" si="108"/>
        <v>0</v>
      </c>
      <c r="O237" s="408">
        <f>O148</f>
        <v>0</v>
      </c>
      <c r="P237" s="408">
        <f t="shared" si="108"/>
        <v>0</v>
      </c>
      <c r="Q237" s="408">
        <f>Q148</f>
        <v>0</v>
      </c>
      <c r="R237" s="408">
        <f t="shared" si="108"/>
        <v>0</v>
      </c>
      <c r="S237" s="408">
        <f t="shared" si="108"/>
        <v>0</v>
      </c>
      <c r="T237" s="408">
        <f t="shared" si="108"/>
        <v>0</v>
      </c>
      <c r="U237" s="398"/>
      <c r="V237" s="15"/>
      <c r="W237" s="15"/>
      <c r="X237" s="15"/>
      <c r="Y237" s="15"/>
      <c r="Z237" s="15"/>
    </row>
    <row r="238" spans="1:26" s="33" customFormat="1" ht="15" customHeight="1">
      <c r="A238" s="414"/>
      <c r="B238" s="415"/>
      <c r="C238" s="415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383"/>
      <c r="V238" s="15"/>
      <c r="W238" s="15"/>
      <c r="X238" s="15"/>
      <c r="Y238" s="15"/>
      <c r="Z238" s="15"/>
    </row>
    <row r="239" spans="1:26" s="33" customFormat="1" ht="19.5" customHeight="1">
      <c r="A239" s="410" t="s">
        <v>61</v>
      </c>
      <c r="B239" s="411"/>
      <c r="C239" s="411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85"/>
      <c r="V239" s="15"/>
      <c r="W239" s="15"/>
      <c r="X239" s="15"/>
      <c r="Y239" s="15"/>
      <c r="Z239" s="15"/>
    </row>
    <row r="240" spans="1:26" s="33" customFormat="1" ht="14.25">
      <c r="A240" s="396" t="s">
        <v>62</v>
      </c>
      <c r="B240" s="390" t="s">
        <v>63</v>
      </c>
      <c r="C240" s="391"/>
      <c r="D240" s="385">
        <v>45988</v>
      </c>
      <c r="E240" s="385">
        <v>45678</v>
      </c>
      <c r="F240" s="405">
        <v>45742</v>
      </c>
      <c r="G240" s="405">
        <v>45751</v>
      </c>
      <c r="H240" s="385">
        <v>45797</v>
      </c>
      <c r="I240" s="385"/>
      <c r="J240" s="298"/>
      <c r="K240" s="385"/>
      <c r="L240" s="385"/>
      <c r="M240" s="385"/>
      <c r="N240" s="385"/>
      <c r="O240" s="385"/>
      <c r="P240" s="385"/>
      <c r="Q240" s="385"/>
      <c r="R240" s="385"/>
      <c r="S240" s="385"/>
      <c r="T240" s="385"/>
      <c r="U240" s="389"/>
      <c r="V240" s="23"/>
      <c r="W240" s="15"/>
      <c r="X240" s="15"/>
      <c r="Y240" s="15"/>
      <c r="Z240" s="15"/>
    </row>
    <row r="241" spans="1:26" s="33" customFormat="1" ht="14.25">
      <c r="A241" s="390"/>
      <c r="B241" s="390"/>
      <c r="C241" s="391"/>
      <c r="D241" s="386"/>
      <c r="E241" s="386"/>
      <c r="F241" s="406"/>
      <c r="G241" s="406"/>
      <c r="H241" s="386"/>
      <c r="I241" s="386"/>
      <c r="J241" s="297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9"/>
      <c r="V241" s="15"/>
      <c r="W241" s="15"/>
      <c r="X241" s="15"/>
      <c r="Y241" s="15"/>
      <c r="Z241" s="15"/>
    </row>
    <row r="242" spans="1:26" s="33" customFormat="1" ht="14.25">
      <c r="A242" s="390"/>
      <c r="B242" s="390" t="s">
        <v>64</v>
      </c>
      <c r="C242" s="391"/>
      <c r="D242" s="387">
        <v>2900000</v>
      </c>
      <c r="E242" s="387">
        <v>1000000</v>
      </c>
      <c r="F242" s="407">
        <v>188882</v>
      </c>
      <c r="G242" s="401">
        <v>1205309</v>
      </c>
      <c r="H242" s="387">
        <v>2418588</v>
      </c>
      <c r="I242" s="387"/>
      <c r="J242" s="312"/>
      <c r="K242" s="387"/>
      <c r="L242" s="387"/>
      <c r="M242" s="387"/>
      <c r="N242" s="387"/>
      <c r="O242" s="387"/>
      <c r="P242" s="397"/>
      <c r="Q242" s="385"/>
      <c r="R242" s="387"/>
      <c r="S242" s="387"/>
      <c r="T242" s="385"/>
      <c r="U242" s="389"/>
      <c r="V242" s="23" t="e">
        <f>#REF!+#REF!+#REF!</f>
        <v>#REF!</v>
      </c>
      <c r="W242" s="15"/>
      <c r="X242" s="15"/>
      <c r="Y242" s="15"/>
      <c r="Z242" s="15"/>
    </row>
    <row r="243" spans="1:26" s="33" customFormat="1" ht="14.25">
      <c r="A243" s="390"/>
      <c r="B243" s="390"/>
      <c r="C243" s="391"/>
      <c r="D243" s="388"/>
      <c r="E243" s="388"/>
      <c r="F243" s="406"/>
      <c r="G243" s="402"/>
      <c r="H243" s="388"/>
      <c r="I243" s="388"/>
      <c r="J243" s="313"/>
      <c r="K243" s="388"/>
      <c r="L243" s="388"/>
      <c r="M243" s="388"/>
      <c r="N243" s="388"/>
      <c r="O243" s="388"/>
      <c r="P243" s="398"/>
      <c r="Q243" s="386"/>
      <c r="R243" s="388"/>
      <c r="S243" s="388"/>
      <c r="T243" s="386"/>
      <c r="U243" s="389"/>
      <c r="V243" s="15"/>
      <c r="W243" s="15"/>
      <c r="X243" s="15"/>
      <c r="Y243" s="15"/>
      <c r="Z243" s="23">
        <f>D148-D242</f>
        <v>3135933</v>
      </c>
    </row>
    <row r="244" spans="1:26" s="33" customFormat="1" ht="14.25">
      <c r="A244" s="396" t="s">
        <v>65</v>
      </c>
      <c r="B244" s="390" t="s">
        <v>63</v>
      </c>
      <c r="C244" s="391"/>
      <c r="D244" s="405">
        <v>45742</v>
      </c>
      <c r="E244" s="405">
        <v>45742</v>
      </c>
      <c r="F244" s="385"/>
      <c r="G244" s="385"/>
      <c r="H244" s="385"/>
      <c r="I244" s="385"/>
      <c r="J244" s="385"/>
      <c r="K244" s="385"/>
      <c r="L244" s="385"/>
      <c r="M244" s="385"/>
      <c r="N244" s="385"/>
      <c r="O244" s="385"/>
      <c r="P244" s="385"/>
      <c r="Q244" s="385"/>
      <c r="R244" s="385"/>
      <c r="S244" s="403"/>
      <c r="T244" s="387"/>
      <c r="U244" s="389"/>
      <c r="V244" s="15"/>
      <c r="W244" s="15"/>
      <c r="X244" s="15"/>
      <c r="Y244" s="15"/>
      <c r="Z244" s="15"/>
    </row>
    <row r="245" spans="1:26" s="33" customFormat="1" ht="14.25">
      <c r="A245" s="390"/>
      <c r="B245" s="390"/>
      <c r="C245" s="391"/>
      <c r="D245" s="406"/>
      <c r="E245" s="406"/>
      <c r="F245" s="386"/>
      <c r="G245" s="386"/>
      <c r="H245" s="386"/>
      <c r="I245" s="386"/>
      <c r="J245" s="386"/>
      <c r="K245" s="386"/>
      <c r="L245" s="386"/>
      <c r="M245" s="386"/>
      <c r="N245" s="386"/>
      <c r="O245" s="386"/>
      <c r="P245" s="386"/>
      <c r="Q245" s="386"/>
      <c r="R245" s="386"/>
      <c r="S245" s="404"/>
      <c r="T245" s="388"/>
      <c r="U245" s="389"/>
      <c r="V245" s="15"/>
      <c r="W245" s="15"/>
      <c r="X245" s="15"/>
      <c r="Y245" s="15"/>
      <c r="Z245" s="15"/>
    </row>
    <row r="246" spans="1:26" s="33" customFormat="1" ht="14.25">
      <c r="A246" s="390"/>
      <c r="B246" s="390" t="s">
        <v>64</v>
      </c>
      <c r="C246" s="391"/>
      <c r="D246" s="401">
        <v>3135933</v>
      </c>
      <c r="E246" s="401">
        <v>649439</v>
      </c>
      <c r="F246" s="387"/>
      <c r="G246" s="387"/>
      <c r="H246" s="387"/>
      <c r="I246" s="387"/>
      <c r="J246" s="387"/>
      <c r="K246" s="387"/>
      <c r="L246" s="387"/>
      <c r="M246" s="387"/>
      <c r="N246" s="387"/>
      <c r="O246" s="399"/>
      <c r="P246" s="387"/>
      <c r="Q246" s="385"/>
      <c r="R246" s="387"/>
      <c r="S246" s="387"/>
      <c r="T246" s="387"/>
      <c r="U246" s="389"/>
      <c r="V246" s="15"/>
      <c r="W246" s="15"/>
      <c r="X246" s="15"/>
      <c r="Y246" s="15"/>
      <c r="Z246" s="15"/>
    </row>
    <row r="247" spans="1:26" s="33" customFormat="1" ht="14.25">
      <c r="A247" s="390"/>
      <c r="B247" s="390"/>
      <c r="C247" s="391"/>
      <c r="D247" s="402"/>
      <c r="E247" s="402"/>
      <c r="F247" s="388"/>
      <c r="G247" s="388"/>
      <c r="H247" s="388"/>
      <c r="I247" s="388"/>
      <c r="J247" s="388"/>
      <c r="K247" s="388"/>
      <c r="L247" s="388"/>
      <c r="M247" s="388"/>
      <c r="N247" s="388"/>
      <c r="O247" s="400"/>
      <c r="P247" s="388"/>
      <c r="Q247" s="386"/>
      <c r="R247" s="388"/>
      <c r="S247" s="388"/>
      <c r="T247" s="388"/>
      <c r="U247" s="389"/>
      <c r="V247" s="15"/>
      <c r="W247" s="15"/>
      <c r="X247" s="15"/>
      <c r="Y247" s="15"/>
      <c r="Z247" s="15"/>
    </row>
    <row r="248" spans="1:26" s="33" customFormat="1" ht="14.25">
      <c r="A248" s="396" t="s">
        <v>66</v>
      </c>
      <c r="B248" s="390" t="s">
        <v>63</v>
      </c>
      <c r="C248" s="391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85"/>
      <c r="O248" s="387"/>
      <c r="P248" s="385"/>
      <c r="Q248" s="385"/>
      <c r="R248" s="385"/>
      <c r="S248" s="387"/>
      <c r="T248" s="387"/>
      <c r="U248" s="389"/>
      <c r="V248" s="15"/>
      <c r="W248" s="15"/>
      <c r="X248" s="15"/>
      <c r="Y248" s="15"/>
      <c r="Z248" s="15"/>
    </row>
    <row r="249" spans="1:26" s="33" customFormat="1" ht="14.25">
      <c r="A249" s="390"/>
      <c r="B249" s="390"/>
      <c r="C249" s="391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6"/>
      <c r="O249" s="388"/>
      <c r="P249" s="386"/>
      <c r="Q249" s="386"/>
      <c r="R249" s="386"/>
      <c r="S249" s="388"/>
      <c r="T249" s="388"/>
      <c r="U249" s="389"/>
      <c r="V249" s="15"/>
      <c r="W249" s="15"/>
      <c r="X249" s="15"/>
      <c r="Y249" s="15"/>
      <c r="Z249" s="15"/>
    </row>
    <row r="250" spans="1:26" s="33" customFormat="1" ht="14.25">
      <c r="A250" s="390"/>
      <c r="B250" s="390" t="s">
        <v>64</v>
      </c>
      <c r="C250" s="391"/>
      <c r="D250" s="387"/>
      <c r="E250" s="387"/>
      <c r="F250" s="387"/>
      <c r="G250" s="387"/>
      <c r="H250" s="387"/>
      <c r="I250" s="397"/>
      <c r="J250" s="397"/>
      <c r="K250" s="385"/>
      <c r="L250" s="387"/>
      <c r="M250" s="387"/>
      <c r="N250" s="387"/>
      <c r="O250" s="385"/>
      <c r="P250" s="385"/>
      <c r="Q250" s="385"/>
      <c r="R250" s="387"/>
      <c r="S250" s="387"/>
      <c r="T250" s="387"/>
      <c r="U250" s="389"/>
      <c r="V250" s="15"/>
      <c r="W250" s="15"/>
      <c r="X250" s="15"/>
      <c r="Y250" s="15"/>
      <c r="Z250" s="15"/>
    </row>
    <row r="251" spans="1:26" s="33" customFormat="1" ht="14.25">
      <c r="A251" s="390"/>
      <c r="B251" s="390"/>
      <c r="C251" s="391"/>
      <c r="D251" s="388"/>
      <c r="E251" s="388"/>
      <c r="F251" s="388"/>
      <c r="G251" s="388"/>
      <c r="H251" s="388"/>
      <c r="I251" s="398"/>
      <c r="J251" s="398"/>
      <c r="K251" s="386"/>
      <c r="L251" s="388"/>
      <c r="M251" s="388"/>
      <c r="N251" s="388"/>
      <c r="O251" s="386"/>
      <c r="P251" s="386"/>
      <c r="Q251" s="386"/>
      <c r="R251" s="388"/>
      <c r="S251" s="388"/>
      <c r="T251" s="388"/>
      <c r="U251" s="389"/>
      <c r="V251" s="15"/>
      <c r="W251" s="15"/>
      <c r="X251" s="15"/>
      <c r="Y251" s="15"/>
      <c r="Z251" s="15"/>
    </row>
    <row r="252" spans="1:26" s="33" customFormat="1" ht="13.5" customHeight="1">
      <c r="A252" s="396" t="s">
        <v>67</v>
      </c>
      <c r="B252" s="390" t="s">
        <v>63</v>
      </c>
      <c r="C252" s="391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5"/>
      <c r="P252" s="385"/>
      <c r="Q252" s="385"/>
      <c r="R252" s="385"/>
      <c r="S252" s="387"/>
      <c r="T252" s="387"/>
      <c r="U252" s="389"/>
      <c r="V252" s="15"/>
      <c r="W252" s="15"/>
      <c r="X252" s="15"/>
      <c r="Y252" s="15"/>
      <c r="Z252" s="15"/>
    </row>
    <row r="253" spans="1:26" s="33" customFormat="1" ht="13.5" customHeight="1">
      <c r="A253" s="390"/>
      <c r="B253" s="390"/>
      <c r="C253" s="391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8"/>
      <c r="T253" s="388"/>
      <c r="U253" s="389"/>
      <c r="V253" s="15"/>
      <c r="W253" s="15"/>
      <c r="X253" s="15"/>
      <c r="Y253" s="15"/>
      <c r="Z253" s="15"/>
    </row>
    <row r="254" spans="1:26" s="33" customFormat="1" ht="13.5" customHeight="1">
      <c r="A254" s="390"/>
      <c r="B254" s="390" t="s">
        <v>64</v>
      </c>
      <c r="C254" s="391"/>
      <c r="D254" s="387"/>
      <c r="E254" s="387"/>
      <c r="F254" s="387"/>
      <c r="G254" s="385"/>
      <c r="H254" s="385"/>
      <c r="I254" s="387"/>
      <c r="J254" s="387"/>
      <c r="K254" s="385"/>
      <c r="L254" s="385"/>
      <c r="M254" s="385"/>
      <c r="N254" s="385"/>
      <c r="O254" s="385"/>
      <c r="P254" s="385"/>
      <c r="Q254" s="385"/>
      <c r="R254" s="387"/>
      <c r="S254" s="387"/>
      <c r="T254" s="387"/>
      <c r="U254" s="389"/>
      <c r="V254" s="15"/>
      <c r="W254" s="15"/>
      <c r="X254" s="15"/>
      <c r="Y254" s="15"/>
      <c r="Z254" s="15"/>
    </row>
    <row r="255" spans="1:26" s="33" customFormat="1" ht="13.5" customHeight="1">
      <c r="A255" s="390"/>
      <c r="B255" s="390"/>
      <c r="C255" s="391"/>
      <c r="D255" s="388"/>
      <c r="E255" s="388"/>
      <c r="F255" s="388"/>
      <c r="G255" s="386"/>
      <c r="H255" s="386"/>
      <c r="I255" s="388"/>
      <c r="J255" s="388"/>
      <c r="K255" s="386"/>
      <c r="L255" s="386"/>
      <c r="M255" s="386"/>
      <c r="N255" s="386"/>
      <c r="O255" s="386"/>
      <c r="P255" s="386"/>
      <c r="Q255" s="386"/>
      <c r="R255" s="388"/>
      <c r="S255" s="388"/>
      <c r="T255" s="388"/>
      <c r="U255" s="389"/>
      <c r="V255" s="15"/>
      <c r="W255" s="15"/>
      <c r="X255" s="15"/>
      <c r="Y255" s="15"/>
      <c r="Z255" s="15"/>
    </row>
    <row r="256" spans="1:26" s="33" customFormat="1" ht="13.5" hidden="1" customHeight="1">
      <c r="A256" s="396" t="s">
        <v>68</v>
      </c>
      <c r="B256" s="390" t="s">
        <v>63</v>
      </c>
      <c r="C256" s="391"/>
      <c r="D256" s="385"/>
      <c r="E256" s="385"/>
      <c r="F256" s="385"/>
      <c r="G256" s="385"/>
      <c r="H256" s="385"/>
      <c r="I256" s="385"/>
      <c r="J256" s="385"/>
      <c r="K256" s="385"/>
      <c r="L256" s="385"/>
      <c r="M256" s="385"/>
      <c r="N256" s="385"/>
      <c r="O256" s="385"/>
      <c r="P256" s="385"/>
      <c r="Q256" s="385"/>
      <c r="R256" s="385"/>
      <c r="S256" s="387"/>
      <c r="T256" s="387"/>
      <c r="U256" s="389"/>
      <c r="V256" s="15"/>
      <c r="W256" s="15"/>
      <c r="X256" s="15"/>
      <c r="Y256" s="15"/>
      <c r="Z256" s="15"/>
    </row>
    <row r="257" spans="1:26" s="33" customFormat="1" ht="13.5" hidden="1" customHeight="1">
      <c r="A257" s="390"/>
      <c r="B257" s="390"/>
      <c r="C257" s="391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8"/>
      <c r="T257" s="388"/>
      <c r="U257" s="389"/>
      <c r="V257" s="15"/>
      <c r="W257" s="15"/>
      <c r="X257" s="15"/>
      <c r="Y257" s="15"/>
      <c r="Z257" s="15"/>
    </row>
    <row r="258" spans="1:26" s="33" customFormat="1" ht="13.5" hidden="1" customHeight="1">
      <c r="A258" s="390"/>
      <c r="B258" s="390" t="s">
        <v>64</v>
      </c>
      <c r="C258" s="391"/>
      <c r="D258" s="385"/>
      <c r="E258" s="385"/>
      <c r="F258" s="387"/>
      <c r="G258" s="385"/>
      <c r="H258" s="385"/>
      <c r="I258" s="385"/>
      <c r="J258" s="385"/>
      <c r="K258" s="385"/>
      <c r="L258" s="385"/>
      <c r="M258" s="385"/>
      <c r="N258" s="385"/>
      <c r="O258" s="385"/>
      <c r="P258" s="385"/>
      <c r="Q258" s="385"/>
      <c r="R258" s="385"/>
      <c r="S258" s="387"/>
      <c r="T258" s="387"/>
      <c r="U258" s="389"/>
      <c r="V258" s="15"/>
      <c r="W258" s="15"/>
      <c r="X258" s="15"/>
      <c r="Y258" s="15"/>
      <c r="Z258" s="15"/>
    </row>
    <row r="259" spans="1:26" s="33" customFormat="1" ht="13.5" hidden="1" customHeight="1">
      <c r="A259" s="390"/>
      <c r="B259" s="390"/>
      <c r="C259" s="391"/>
      <c r="D259" s="386"/>
      <c r="E259" s="386"/>
      <c r="F259" s="388"/>
      <c r="G259" s="386"/>
      <c r="H259" s="386"/>
      <c r="I259" s="386"/>
      <c r="J259" s="386"/>
      <c r="K259" s="386"/>
      <c r="L259" s="386"/>
      <c r="M259" s="386"/>
      <c r="N259" s="386"/>
      <c r="O259" s="386"/>
      <c r="P259" s="386"/>
      <c r="Q259" s="386"/>
      <c r="R259" s="386"/>
      <c r="S259" s="388"/>
      <c r="T259" s="388"/>
      <c r="U259" s="389"/>
      <c r="V259" s="15"/>
      <c r="W259" s="15"/>
      <c r="X259" s="15"/>
      <c r="Y259" s="15"/>
      <c r="Z259" s="15"/>
    </row>
    <row r="260" spans="1:26" s="33" customFormat="1" ht="13.5" hidden="1" customHeight="1">
      <c r="A260" s="396" t="s">
        <v>69</v>
      </c>
      <c r="B260" s="390" t="s">
        <v>63</v>
      </c>
      <c r="C260" s="391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85"/>
      <c r="O260" s="385"/>
      <c r="P260" s="385"/>
      <c r="Q260" s="385"/>
      <c r="R260" s="385"/>
      <c r="S260" s="387"/>
      <c r="T260" s="387"/>
      <c r="U260" s="389"/>
      <c r="V260" s="15"/>
      <c r="W260" s="15"/>
      <c r="X260" s="15"/>
      <c r="Y260" s="15"/>
      <c r="Z260" s="15"/>
    </row>
    <row r="261" spans="1:26" s="33" customFormat="1" ht="13.5" hidden="1" customHeight="1">
      <c r="A261" s="390"/>
      <c r="B261" s="390"/>
      <c r="C261" s="391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8"/>
      <c r="T261" s="388"/>
      <c r="U261" s="389"/>
      <c r="V261" s="15"/>
      <c r="W261" s="15"/>
      <c r="X261" s="15"/>
      <c r="Y261" s="15"/>
      <c r="Z261" s="15"/>
    </row>
    <row r="262" spans="1:26" s="33" customFormat="1" ht="13.5" hidden="1" customHeight="1">
      <c r="A262" s="390"/>
      <c r="B262" s="390" t="s">
        <v>64</v>
      </c>
      <c r="C262" s="391"/>
      <c r="D262" s="385"/>
      <c r="E262" s="385"/>
      <c r="F262" s="387"/>
      <c r="G262" s="385"/>
      <c r="H262" s="385"/>
      <c r="I262" s="385"/>
      <c r="J262" s="385"/>
      <c r="K262" s="385"/>
      <c r="L262" s="385"/>
      <c r="M262" s="385"/>
      <c r="N262" s="385"/>
      <c r="O262" s="385"/>
      <c r="P262" s="385"/>
      <c r="Q262" s="385"/>
      <c r="R262" s="385"/>
      <c r="S262" s="387"/>
      <c r="T262" s="387"/>
      <c r="U262" s="389"/>
      <c r="V262" s="15"/>
      <c r="W262" s="15"/>
      <c r="X262" s="15"/>
      <c r="Y262" s="15"/>
      <c r="Z262" s="15"/>
    </row>
    <row r="263" spans="1:26" s="33" customFormat="1" ht="13.5" hidden="1" customHeight="1">
      <c r="A263" s="390"/>
      <c r="B263" s="390"/>
      <c r="C263" s="391"/>
      <c r="D263" s="386"/>
      <c r="E263" s="386"/>
      <c r="F263" s="388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8"/>
      <c r="T263" s="388"/>
      <c r="U263" s="389"/>
      <c r="V263" s="15"/>
      <c r="W263" s="15"/>
      <c r="X263" s="15"/>
      <c r="Y263" s="15"/>
      <c r="Z263" s="15"/>
    </row>
    <row r="264" spans="1:26" s="33" customFormat="1" ht="13.5" hidden="1" customHeight="1">
      <c r="A264" s="396" t="s">
        <v>69</v>
      </c>
      <c r="B264" s="390" t="s">
        <v>63</v>
      </c>
      <c r="C264" s="391"/>
      <c r="D264" s="385"/>
      <c r="E264" s="385"/>
      <c r="F264" s="385"/>
      <c r="G264" s="385"/>
      <c r="H264" s="385"/>
      <c r="I264" s="385"/>
      <c r="J264" s="385"/>
      <c r="K264" s="385"/>
      <c r="L264" s="385"/>
      <c r="M264" s="385"/>
      <c r="N264" s="385"/>
      <c r="O264" s="385"/>
      <c r="P264" s="385"/>
      <c r="Q264" s="385"/>
      <c r="R264" s="385"/>
      <c r="S264" s="387"/>
      <c r="T264" s="387"/>
      <c r="U264" s="389"/>
      <c r="V264" s="15"/>
      <c r="W264" s="15"/>
      <c r="X264" s="15"/>
      <c r="Y264" s="15"/>
      <c r="Z264" s="15"/>
    </row>
    <row r="265" spans="1:26" s="33" customFormat="1" ht="13.5" hidden="1" customHeight="1">
      <c r="A265" s="390"/>
      <c r="B265" s="390"/>
      <c r="C265" s="391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8"/>
      <c r="T265" s="388"/>
      <c r="U265" s="389"/>
      <c r="V265" s="15"/>
      <c r="W265" s="15"/>
      <c r="X265" s="15"/>
      <c r="Y265" s="15"/>
      <c r="Z265" s="15"/>
    </row>
    <row r="266" spans="1:26" s="33" customFormat="1" ht="13.5" hidden="1" customHeight="1">
      <c r="A266" s="390"/>
      <c r="B266" s="390" t="s">
        <v>64</v>
      </c>
      <c r="C266" s="391"/>
      <c r="D266" s="385"/>
      <c r="E266" s="385"/>
      <c r="F266" s="387"/>
      <c r="G266" s="385"/>
      <c r="H266" s="385"/>
      <c r="I266" s="385"/>
      <c r="J266" s="385"/>
      <c r="K266" s="385"/>
      <c r="L266" s="385"/>
      <c r="M266" s="385"/>
      <c r="N266" s="385"/>
      <c r="O266" s="385"/>
      <c r="P266" s="385"/>
      <c r="Q266" s="385"/>
      <c r="R266" s="385"/>
      <c r="S266" s="387"/>
      <c r="T266" s="387"/>
      <c r="U266" s="389"/>
      <c r="V266" s="15"/>
      <c r="W266" s="15"/>
      <c r="X266" s="15"/>
      <c r="Y266" s="15"/>
      <c r="Z266" s="15"/>
    </row>
    <row r="267" spans="1:26" s="33" customFormat="1" ht="13.5" hidden="1" customHeight="1">
      <c r="A267" s="390"/>
      <c r="B267" s="390"/>
      <c r="C267" s="391"/>
      <c r="D267" s="386"/>
      <c r="E267" s="386"/>
      <c r="F267" s="388"/>
      <c r="G267" s="386"/>
      <c r="H267" s="386"/>
      <c r="I267" s="386"/>
      <c r="J267" s="386"/>
      <c r="K267" s="386"/>
      <c r="L267" s="386"/>
      <c r="M267" s="386"/>
      <c r="N267" s="386"/>
      <c r="O267" s="386"/>
      <c r="P267" s="386"/>
      <c r="Q267" s="386"/>
      <c r="R267" s="386"/>
      <c r="S267" s="388"/>
      <c r="T267" s="388"/>
      <c r="U267" s="389"/>
      <c r="V267" s="15"/>
      <c r="W267" s="15"/>
      <c r="X267" s="15"/>
      <c r="Y267" s="15"/>
      <c r="Z267" s="15"/>
    </row>
    <row r="268" spans="1:26" s="33" customFormat="1" ht="13.5" hidden="1" customHeight="1">
      <c r="A268" s="396" t="s">
        <v>70</v>
      </c>
      <c r="B268" s="390" t="s">
        <v>63</v>
      </c>
      <c r="C268" s="391"/>
      <c r="D268" s="385"/>
      <c r="E268" s="385"/>
      <c r="F268" s="385"/>
      <c r="G268" s="385"/>
      <c r="H268" s="298"/>
      <c r="I268" s="385"/>
      <c r="J268" s="298"/>
      <c r="K268" s="385"/>
      <c r="L268" s="385"/>
      <c r="M268" s="385"/>
      <c r="N268" s="385"/>
      <c r="O268" s="385"/>
      <c r="P268" s="385"/>
      <c r="Q268" s="385"/>
      <c r="R268" s="385"/>
      <c r="S268" s="387"/>
      <c r="T268" s="387"/>
      <c r="U268" s="389"/>
      <c r="V268" s="15"/>
      <c r="W268" s="15"/>
      <c r="X268" s="15"/>
      <c r="Y268" s="15"/>
      <c r="Z268" s="15"/>
    </row>
    <row r="269" spans="1:26" s="33" customFormat="1" ht="13.5" hidden="1" customHeight="1">
      <c r="A269" s="390"/>
      <c r="B269" s="390"/>
      <c r="C269" s="391"/>
      <c r="D269" s="386"/>
      <c r="E269" s="386"/>
      <c r="F269" s="386"/>
      <c r="G269" s="386"/>
      <c r="H269" s="297"/>
      <c r="I269" s="386"/>
      <c r="J269" s="297"/>
      <c r="K269" s="386"/>
      <c r="L269" s="386"/>
      <c r="M269" s="386"/>
      <c r="N269" s="386"/>
      <c r="O269" s="386"/>
      <c r="P269" s="386"/>
      <c r="Q269" s="386"/>
      <c r="R269" s="386"/>
      <c r="S269" s="388"/>
      <c r="T269" s="388"/>
      <c r="U269" s="389"/>
      <c r="V269" s="15"/>
      <c r="W269" s="15"/>
      <c r="X269" s="15"/>
      <c r="Y269" s="15"/>
      <c r="Z269" s="15"/>
    </row>
    <row r="270" spans="1:26" s="33" customFormat="1" ht="13.5" hidden="1" customHeight="1">
      <c r="A270" s="390"/>
      <c r="B270" s="390" t="s">
        <v>64</v>
      </c>
      <c r="C270" s="391"/>
      <c r="D270" s="385"/>
      <c r="E270" s="385"/>
      <c r="F270" s="385"/>
      <c r="G270" s="385"/>
      <c r="H270" s="298"/>
      <c r="I270" s="385"/>
      <c r="J270" s="298"/>
      <c r="K270" s="385"/>
      <c r="L270" s="385"/>
      <c r="M270" s="385"/>
      <c r="N270" s="385"/>
      <c r="O270" s="385"/>
      <c r="P270" s="385"/>
      <c r="Q270" s="385"/>
      <c r="R270" s="385"/>
      <c r="S270" s="387"/>
      <c r="T270" s="387"/>
      <c r="U270" s="389"/>
      <c r="V270" s="15"/>
      <c r="W270" s="15"/>
      <c r="X270" s="15"/>
      <c r="Y270" s="15"/>
      <c r="Z270" s="15"/>
    </row>
    <row r="271" spans="1:26" s="33" customFormat="1" ht="13.5" hidden="1" customHeight="1">
      <c r="A271" s="390"/>
      <c r="B271" s="390"/>
      <c r="C271" s="391"/>
      <c r="D271" s="386"/>
      <c r="E271" s="386"/>
      <c r="F271" s="386"/>
      <c r="G271" s="386"/>
      <c r="H271" s="297"/>
      <c r="I271" s="386"/>
      <c r="J271" s="297"/>
      <c r="K271" s="386"/>
      <c r="L271" s="386"/>
      <c r="M271" s="386"/>
      <c r="N271" s="386"/>
      <c r="O271" s="386"/>
      <c r="P271" s="386"/>
      <c r="Q271" s="386"/>
      <c r="R271" s="386"/>
      <c r="S271" s="388"/>
      <c r="T271" s="388"/>
      <c r="U271" s="389"/>
      <c r="V271" s="15"/>
      <c r="W271" s="15"/>
      <c r="X271" s="15"/>
      <c r="Y271" s="15"/>
      <c r="Z271" s="15"/>
    </row>
    <row r="272" spans="1:26" s="33" customFormat="1" ht="13.5" hidden="1" customHeight="1">
      <c r="A272" s="396" t="s">
        <v>71</v>
      </c>
      <c r="B272" s="390" t="s">
        <v>63</v>
      </c>
      <c r="C272" s="391"/>
      <c r="D272" s="385"/>
      <c r="E272" s="385"/>
      <c r="F272" s="385"/>
      <c r="G272" s="385"/>
      <c r="H272" s="298"/>
      <c r="I272" s="385"/>
      <c r="J272" s="298"/>
      <c r="K272" s="385"/>
      <c r="L272" s="385"/>
      <c r="M272" s="385"/>
      <c r="N272" s="385"/>
      <c r="O272" s="385"/>
      <c r="P272" s="385"/>
      <c r="Q272" s="385"/>
      <c r="R272" s="385"/>
      <c r="S272" s="387"/>
      <c r="T272" s="387"/>
      <c r="U272" s="389"/>
      <c r="V272" s="15"/>
      <c r="W272" s="15"/>
      <c r="X272" s="15"/>
      <c r="Y272" s="15"/>
      <c r="Z272" s="15"/>
    </row>
    <row r="273" spans="1:26" s="33" customFormat="1" ht="13.5" hidden="1" customHeight="1">
      <c r="A273" s="390"/>
      <c r="B273" s="390"/>
      <c r="C273" s="391"/>
      <c r="D273" s="386"/>
      <c r="E273" s="386"/>
      <c r="F273" s="386"/>
      <c r="G273" s="386"/>
      <c r="H273" s="297"/>
      <c r="I273" s="386"/>
      <c r="J273" s="297"/>
      <c r="K273" s="386"/>
      <c r="L273" s="386"/>
      <c r="M273" s="386"/>
      <c r="N273" s="386"/>
      <c r="O273" s="386"/>
      <c r="P273" s="386"/>
      <c r="Q273" s="386"/>
      <c r="R273" s="386"/>
      <c r="S273" s="388"/>
      <c r="T273" s="388"/>
      <c r="U273" s="389"/>
      <c r="V273" s="15"/>
      <c r="W273" s="15"/>
      <c r="X273" s="15"/>
      <c r="Y273" s="15"/>
      <c r="Z273" s="15"/>
    </row>
    <row r="274" spans="1:26" s="33" customFormat="1" ht="13.5" hidden="1" customHeight="1">
      <c r="A274" s="390"/>
      <c r="B274" s="390" t="s">
        <v>64</v>
      </c>
      <c r="C274" s="391"/>
      <c r="D274" s="385"/>
      <c r="E274" s="385"/>
      <c r="F274" s="385"/>
      <c r="G274" s="385"/>
      <c r="H274" s="298"/>
      <c r="I274" s="385"/>
      <c r="J274" s="298"/>
      <c r="K274" s="385"/>
      <c r="L274" s="385"/>
      <c r="M274" s="385"/>
      <c r="N274" s="385"/>
      <c r="O274" s="385"/>
      <c r="P274" s="385"/>
      <c r="Q274" s="385"/>
      <c r="R274" s="385"/>
      <c r="S274" s="387"/>
      <c r="T274" s="387"/>
      <c r="U274" s="389"/>
      <c r="V274" s="15"/>
      <c r="W274" s="15"/>
      <c r="X274" s="15"/>
      <c r="Y274" s="15"/>
      <c r="Z274" s="15"/>
    </row>
    <row r="275" spans="1:26" s="33" customFormat="1" ht="13.5" hidden="1" customHeight="1">
      <c r="A275" s="390"/>
      <c r="B275" s="390"/>
      <c r="C275" s="391"/>
      <c r="D275" s="386"/>
      <c r="E275" s="386"/>
      <c r="F275" s="386"/>
      <c r="G275" s="386"/>
      <c r="H275" s="297"/>
      <c r="I275" s="386"/>
      <c r="J275" s="297"/>
      <c r="K275" s="386"/>
      <c r="L275" s="386"/>
      <c r="M275" s="386"/>
      <c r="N275" s="386"/>
      <c r="O275" s="386"/>
      <c r="P275" s="386"/>
      <c r="Q275" s="386"/>
      <c r="R275" s="386"/>
      <c r="S275" s="388"/>
      <c r="T275" s="388"/>
      <c r="U275" s="389"/>
      <c r="V275" s="15"/>
      <c r="W275" s="15"/>
      <c r="X275" s="15"/>
      <c r="Y275" s="15"/>
      <c r="Z275" s="15"/>
    </row>
    <row r="276" spans="1:26" s="33" customFormat="1" ht="14.25">
      <c r="A276" s="392" t="s">
        <v>60</v>
      </c>
      <c r="B276" s="393"/>
      <c r="C276" s="393"/>
      <c r="D276" s="379">
        <f>D237-D242-D246-D250-D254-D258-D262-D266</f>
        <v>0</v>
      </c>
      <c r="E276" s="379">
        <f t="shared" ref="E276:T276" si="109">E237-E242-E246-E250-E254-E258-E262</f>
        <v>0</v>
      </c>
      <c r="F276" s="379">
        <f>F237-F242-F246-F250-F254-F258-F262-F266</f>
        <v>0</v>
      </c>
      <c r="G276" s="379">
        <f t="shared" si="109"/>
        <v>2082718.2352941176</v>
      </c>
      <c r="H276" s="379">
        <f t="shared" si="109"/>
        <v>2494076</v>
      </c>
      <c r="I276" s="379">
        <f t="shared" si="109"/>
        <v>512100</v>
      </c>
      <c r="J276" s="379">
        <f t="shared" si="109"/>
        <v>0</v>
      </c>
      <c r="K276" s="379">
        <f t="shared" si="109"/>
        <v>0</v>
      </c>
      <c r="L276" s="379">
        <f t="shared" si="109"/>
        <v>0</v>
      </c>
      <c r="M276" s="379">
        <f t="shared" si="109"/>
        <v>0</v>
      </c>
      <c r="N276" s="379">
        <f t="shared" si="109"/>
        <v>0</v>
      </c>
      <c r="O276" s="379">
        <f t="shared" si="109"/>
        <v>0</v>
      </c>
      <c r="P276" s="379">
        <f t="shared" si="109"/>
        <v>0</v>
      </c>
      <c r="Q276" s="379">
        <f t="shared" si="109"/>
        <v>0</v>
      </c>
      <c r="R276" s="381">
        <f t="shared" si="109"/>
        <v>0</v>
      </c>
      <c r="S276" s="381">
        <f t="shared" si="109"/>
        <v>0</v>
      </c>
      <c r="T276" s="381">
        <f t="shared" si="109"/>
        <v>0</v>
      </c>
      <c r="U276" s="383"/>
      <c r="V276" s="15"/>
      <c r="W276" s="15"/>
      <c r="X276" s="15"/>
      <c r="Y276" s="15"/>
      <c r="Z276" s="15"/>
    </row>
    <row r="277" spans="1:26" s="33" customFormat="1" ht="14.25">
      <c r="A277" s="394"/>
      <c r="B277" s="395"/>
      <c r="C277" s="395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2"/>
      <c r="S277" s="382"/>
      <c r="T277" s="382"/>
      <c r="U277" s="384"/>
      <c r="V277" s="15"/>
      <c r="W277" s="15"/>
      <c r="X277" s="15"/>
      <c r="Y277" s="15"/>
      <c r="Z277" s="15"/>
    </row>
    <row r="278" spans="1:26" s="33" customFormat="1" ht="14.25">
      <c r="A278" s="373" t="s">
        <v>261</v>
      </c>
      <c r="B278" s="374"/>
      <c r="C278" s="374"/>
      <c r="D278" s="466">
        <f>SUM(D276:I277)</f>
        <v>5088894.2352941176</v>
      </c>
      <c r="E278" s="467"/>
      <c r="F278" s="467"/>
      <c r="G278" s="467"/>
      <c r="H278" s="467"/>
      <c r="I278" s="468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77"/>
      <c r="V278" s="15"/>
      <c r="W278" s="15"/>
      <c r="X278" s="15"/>
      <c r="Y278" s="15"/>
      <c r="Z278" s="15"/>
    </row>
    <row r="279" spans="1:26" s="33" customFormat="1" ht="14.25">
      <c r="A279" s="375"/>
      <c r="B279" s="376"/>
      <c r="C279" s="376"/>
      <c r="D279" s="469"/>
      <c r="E279" s="470"/>
      <c r="F279" s="470"/>
      <c r="G279" s="470"/>
      <c r="H279" s="470"/>
      <c r="I279" s="471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78"/>
      <c r="V279" s="15"/>
      <c r="W279" s="15"/>
      <c r="X279" s="15"/>
      <c r="Y279" s="15"/>
      <c r="Z279" s="15"/>
    </row>
    <row r="280" spans="1:26" s="33" customFormat="1" ht="38.25" customHeight="1">
      <c r="A280" s="15"/>
      <c r="B280" s="15"/>
      <c r="C280" s="15"/>
      <c r="D280" s="299"/>
      <c r="E280" s="299"/>
      <c r="F280" s="299"/>
      <c r="G280" s="299"/>
      <c r="H280" s="299"/>
      <c r="I280" s="299"/>
      <c r="J280" s="299"/>
      <c r="K280" s="299"/>
      <c r="L280" s="299"/>
      <c r="M280" s="299"/>
      <c r="N280" s="299"/>
      <c r="O280" s="299"/>
      <c r="P280" s="299"/>
      <c r="Q280" s="299"/>
      <c r="R280" s="299"/>
      <c r="S280" s="299"/>
      <c r="T280" s="299"/>
      <c r="U280" s="299"/>
      <c r="V280" s="15"/>
      <c r="W280" s="15"/>
      <c r="X280" s="15"/>
      <c r="Y280" s="15"/>
      <c r="Z280" s="15"/>
    </row>
    <row r="281" spans="1:26" ht="27.75" customHeight="1">
      <c r="I281" s="234"/>
      <c r="J281" s="234"/>
    </row>
  </sheetData>
  <mergeCells count="483">
    <mergeCell ref="D278:I279"/>
    <mergeCell ref="B21:B22"/>
    <mergeCell ref="B23:B24"/>
    <mergeCell ref="B25:B26"/>
    <mergeCell ref="B27:B28"/>
    <mergeCell ref="B29:B30"/>
    <mergeCell ref="B31:B32"/>
    <mergeCell ref="A3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93:B94"/>
    <mergeCell ref="B95:B9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81:B82"/>
    <mergeCell ref="B83:B84"/>
    <mergeCell ref="B85:B86"/>
    <mergeCell ref="B87:B88"/>
    <mergeCell ref="B89:B90"/>
    <mergeCell ref="B91:B92"/>
    <mergeCell ref="B79:B80"/>
    <mergeCell ref="B57:B58"/>
    <mergeCell ref="B59:B60"/>
    <mergeCell ref="B61:B62"/>
    <mergeCell ref="B63:B64"/>
    <mergeCell ref="B65:B66"/>
    <mergeCell ref="B67:B68"/>
    <mergeCell ref="B201:C202"/>
    <mergeCell ref="B203:C204"/>
    <mergeCell ref="B100:C100"/>
    <mergeCell ref="A101:A147"/>
    <mergeCell ref="A148:C148"/>
    <mergeCell ref="A149:C150"/>
    <mergeCell ref="B189:C190"/>
    <mergeCell ref="B191:C192"/>
    <mergeCell ref="B193:C194"/>
    <mergeCell ref="B195:B196"/>
    <mergeCell ref="B197:C198"/>
    <mergeCell ref="B199:C200"/>
    <mergeCell ref="A151:A152"/>
    <mergeCell ref="B151:C151"/>
    <mergeCell ref="B152:C152"/>
    <mergeCell ref="A153:A230"/>
    <mergeCell ref="B153:C154"/>
    <mergeCell ref="B155:C156"/>
    <mergeCell ref="B157:C158"/>
    <mergeCell ref="B159:C160"/>
    <mergeCell ref="B161:C162"/>
    <mergeCell ref="B163:C164"/>
    <mergeCell ref="B177:B178"/>
    <mergeCell ref="B179:C180"/>
    <mergeCell ref="B181:C182"/>
    <mergeCell ref="B183:C184"/>
    <mergeCell ref="B185:C186"/>
    <mergeCell ref="B187:C188"/>
    <mergeCell ref="B165:C166"/>
    <mergeCell ref="B167:C168"/>
    <mergeCell ref="B169:C170"/>
    <mergeCell ref="B171:B172"/>
    <mergeCell ref="B173:C174"/>
    <mergeCell ref="B175:C176"/>
    <mergeCell ref="B213:C214"/>
    <mergeCell ref="B215:C216"/>
    <mergeCell ref="B217:C218"/>
    <mergeCell ref="B219:C220"/>
    <mergeCell ref="B221:C222"/>
    <mergeCell ref="B223:C224"/>
    <mergeCell ref="B205:C206"/>
    <mergeCell ref="B207:C208"/>
    <mergeCell ref="B209:C210"/>
    <mergeCell ref="B211:C212"/>
    <mergeCell ref="J237:J238"/>
    <mergeCell ref="D237:D238"/>
    <mergeCell ref="A237:C238"/>
    <mergeCell ref="B225:B226"/>
    <mergeCell ref="B227:C228"/>
    <mergeCell ref="B229:C230"/>
    <mergeCell ref="B231:C232"/>
    <mergeCell ref="A233:A234"/>
    <mergeCell ref="B233:C233"/>
    <mergeCell ref="B234:C234"/>
    <mergeCell ref="D240:D241"/>
    <mergeCell ref="B240:C241"/>
    <mergeCell ref="Q242:Q243"/>
    <mergeCell ref="R242:R243"/>
    <mergeCell ref="S242:S243"/>
    <mergeCell ref="T242:T243"/>
    <mergeCell ref="U242:U243"/>
    <mergeCell ref="Q237:Q238"/>
    <mergeCell ref="R237:R238"/>
    <mergeCell ref="S237:S238"/>
    <mergeCell ref="T237:T238"/>
    <mergeCell ref="U237:U238"/>
    <mergeCell ref="A239:C239"/>
    <mergeCell ref="K237:K238"/>
    <mergeCell ref="L237:L238"/>
    <mergeCell ref="M237:M238"/>
    <mergeCell ref="N237:N238"/>
    <mergeCell ref="O237:O238"/>
    <mergeCell ref="P237:P238"/>
    <mergeCell ref="E237:E238"/>
    <mergeCell ref="F237:F238"/>
    <mergeCell ref="G237:G238"/>
    <mergeCell ref="H237:H238"/>
    <mergeCell ref="I237:I238"/>
    <mergeCell ref="K240:K241"/>
    <mergeCell ref="L240:L241"/>
    <mergeCell ref="M240:M241"/>
    <mergeCell ref="N240:N241"/>
    <mergeCell ref="O240:O241"/>
    <mergeCell ref="P240:P241"/>
    <mergeCell ref="E240:E241"/>
    <mergeCell ref="F240:F241"/>
    <mergeCell ref="G240:G241"/>
    <mergeCell ref="H240:H241"/>
    <mergeCell ref="I240:I241"/>
    <mergeCell ref="H244:H245"/>
    <mergeCell ref="T246:T247"/>
    <mergeCell ref="U246:U247"/>
    <mergeCell ref="A244:A247"/>
    <mergeCell ref="B244:C245"/>
    <mergeCell ref="K242:K243"/>
    <mergeCell ref="L242:L243"/>
    <mergeCell ref="M242:M243"/>
    <mergeCell ref="N242:N243"/>
    <mergeCell ref="O242:O243"/>
    <mergeCell ref="P242:P243"/>
    <mergeCell ref="E242:E243"/>
    <mergeCell ref="F242:F243"/>
    <mergeCell ref="G242:G243"/>
    <mergeCell ref="H242:H243"/>
    <mergeCell ref="I242:I243"/>
    <mergeCell ref="D242:D243"/>
    <mergeCell ref="A240:A243"/>
    <mergeCell ref="Q240:Q241"/>
    <mergeCell ref="R240:R241"/>
    <mergeCell ref="S240:S241"/>
    <mergeCell ref="T240:T241"/>
    <mergeCell ref="U240:U241"/>
    <mergeCell ref="B242:C243"/>
    <mergeCell ref="D246:D247"/>
    <mergeCell ref="E246:E247"/>
    <mergeCell ref="F246:F247"/>
    <mergeCell ref="G246:G247"/>
    <mergeCell ref="R248:R249"/>
    <mergeCell ref="S248:S249"/>
    <mergeCell ref="U244:U245"/>
    <mergeCell ref="B246:C247"/>
    <mergeCell ref="O244:O245"/>
    <mergeCell ref="P244:P245"/>
    <mergeCell ref="Q244:Q245"/>
    <mergeCell ref="R244:R245"/>
    <mergeCell ref="S244:S245"/>
    <mergeCell ref="T244:T245"/>
    <mergeCell ref="I244:I245"/>
    <mergeCell ref="J244:J245"/>
    <mergeCell ref="K244:K245"/>
    <mergeCell ref="L244:L245"/>
    <mergeCell ref="M244:M245"/>
    <mergeCell ref="N244:N245"/>
    <mergeCell ref="D244:D245"/>
    <mergeCell ref="E244:E245"/>
    <mergeCell ref="F244:F245"/>
    <mergeCell ref="G244:G245"/>
    <mergeCell ref="N246:N247"/>
    <mergeCell ref="O246:O247"/>
    <mergeCell ref="P246:P247"/>
    <mergeCell ref="Q246:Q247"/>
    <mergeCell ref="R246:R247"/>
    <mergeCell ref="S246:S247"/>
    <mergeCell ref="H246:H247"/>
    <mergeCell ref="I246:I247"/>
    <mergeCell ref="J246:J247"/>
    <mergeCell ref="K246:K247"/>
    <mergeCell ref="L246:L247"/>
    <mergeCell ref="M246:M247"/>
    <mergeCell ref="T248:T249"/>
    <mergeCell ref="U248:U249"/>
    <mergeCell ref="B250:C251"/>
    <mergeCell ref="L248:L249"/>
    <mergeCell ref="M248:M249"/>
    <mergeCell ref="N248:N249"/>
    <mergeCell ref="O248:O249"/>
    <mergeCell ref="P248:P249"/>
    <mergeCell ref="Q248:Q249"/>
    <mergeCell ref="F248:F249"/>
    <mergeCell ref="G248:G249"/>
    <mergeCell ref="H248:H249"/>
    <mergeCell ref="I248:I249"/>
    <mergeCell ref="J248:J249"/>
    <mergeCell ref="K248:K249"/>
    <mergeCell ref="D248:D249"/>
    <mergeCell ref="E248:E249"/>
    <mergeCell ref="Q250:Q251"/>
    <mergeCell ref="R250:R251"/>
    <mergeCell ref="S250:S251"/>
    <mergeCell ref="T250:T251"/>
    <mergeCell ref="U250:U251"/>
    <mergeCell ref="B248:C249"/>
    <mergeCell ref="A252:A255"/>
    <mergeCell ref="B252:C253"/>
    <mergeCell ref="K250:K251"/>
    <mergeCell ref="L250:L251"/>
    <mergeCell ref="M250:M251"/>
    <mergeCell ref="N250:N251"/>
    <mergeCell ref="O250:O251"/>
    <mergeCell ref="P250:P251"/>
    <mergeCell ref="E250:E251"/>
    <mergeCell ref="F250:F251"/>
    <mergeCell ref="G250:G251"/>
    <mergeCell ref="H250:H251"/>
    <mergeCell ref="I250:I251"/>
    <mergeCell ref="J250:J251"/>
    <mergeCell ref="D250:D251"/>
    <mergeCell ref="A248:A251"/>
    <mergeCell ref="D254:D255"/>
    <mergeCell ref="E254:E255"/>
    <mergeCell ref="F254:F255"/>
    <mergeCell ref="G254:G255"/>
    <mergeCell ref="U252:U253"/>
    <mergeCell ref="B254:C255"/>
    <mergeCell ref="O252:O253"/>
    <mergeCell ref="P252:P253"/>
    <mergeCell ref="Q252:Q253"/>
    <mergeCell ref="R252:R253"/>
    <mergeCell ref="S252:S253"/>
    <mergeCell ref="T252:T253"/>
    <mergeCell ref="I252:I253"/>
    <mergeCell ref="J252:J253"/>
    <mergeCell ref="K252:K253"/>
    <mergeCell ref="L252:L253"/>
    <mergeCell ref="M252:M253"/>
    <mergeCell ref="N252:N253"/>
    <mergeCell ref="D252:D253"/>
    <mergeCell ref="E252:E253"/>
    <mergeCell ref="F252:F253"/>
    <mergeCell ref="G252:G253"/>
    <mergeCell ref="N254:N255"/>
    <mergeCell ref="O254:O255"/>
    <mergeCell ref="P254:P255"/>
    <mergeCell ref="Q254:Q255"/>
    <mergeCell ref="H252:H253"/>
    <mergeCell ref="T254:T255"/>
    <mergeCell ref="S254:S255"/>
    <mergeCell ref="H254:H255"/>
    <mergeCell ref="I254:I255"/>
    <mergeCell ref="J254:J255"/>
    <mergeCell ref="K254:K255"/>
    <mergeCell ref="L254:L255"/>
    <mergeCell ref="M254:M255"/>
    <mergeCell ref="T256:T257"/>
    <mergeCell ref="U256:U257"/>
    <mergeCell ref="R256:R257"/>
    <mergeCell ref="S256:S257"/>
    <mergeCell ref="U254:U255"/>
    <mergeCell ref="R254:R255"/>
    <mergeCell ref="O256:O257"/>
    <mergeCell ref="P256:P257"/>
    <mergeCell ref="Q256:Q257"/>
    <mergeCell ref="A260:A263"/>
    <mergeCell ref="B260:C261"/>
    <mergeCell ref="K258:K259"/>
    <mergeCell ref="L258:L259"/>
    <mergeCell ref="M258:M259"/>
    <mergeCell ref="N258:N259"/>
    <mergeCell ref="O258:O259"/>
    <mergeCell ref="P258:P259"/>
    <mergeCell ref="E258:E259"/>
    <mergeCell ref="F258:F259"/>
    <mergeCell ref="G258:G259"/>
    <mergeCell ref="H258:H259"/>
    <mergeCell ref="I258:I259"/>
    <mergeCell ref="D262:D263"/>
    <mergeCell ref="E262:E263"/>
    <mergeCell ref="B262:C263"/>
    <mergeCell ref="B258:C259"/>
    <mergeCell ref="A256:A259"/>
    <mergeCell ref="G260:G261"/>
    <mergeCell ref="H260:H261"/>
    <mergeCell ref="I260:I261"/>
    <mergeCell ref="F256:F257"/>
    <mergeCell ref="G256:G257"/>
    <mergeCell ref="H256:H257"/>
    <mergeCell ref="U264:U265"/>
    <mergeCell ref="S260:S261"/>
    <mergeCell ref="T260:T261"/>
    <mergeCell ref="T258:T259"/>
    <mergeCell ref="U258:U259"/>
    <mergeCell ref="Q258:Q259"/>
    <mergeCell ref="R258:R259"/>
    <mergeCell ref="S258:S259"/>
    <mergeCell ref="B256:C257"/>
    <mergeCell ref="L256:L257"/>
    <mergeCell ref="M256:M257"/>
    <mergeCell ref="N256:N257"/>
    <mergeCell ref="D256:D257"/>
    <mergeCell ref="E256:E257"/>
    <mergeCell ref="Q260:Q261"/>
    <mergeCell ref="R260:R261"/>
    <mergeCell ref="I256:I257"/>
    <mergeCell ref="J256:J257"/>
    <mergeCell ref="K256:K257"/>
    <mergeCell ref="J258:J259"/>
    <mergeCell ref="D258:D259"/>
    <mergeCell ref="D260:D261"/>
    <mergeCell ref="E260:E261"/>
    <mergeCell ref="F260:F261"/>
    <mergeCell ref="U260:U261"/>
    <mergeCell ref="J260:J261"/>
    <mergeCell ref="K260:K261"/>
    <mergeCell ref="L260:L261"/>
    <mergeCell ref="M260:M261"/>
    <mergeCell ref="N260:N261"/>
    <mergeCell ref="O260:O261"/>
    <mergeCell ref="R262:R263"/>
    <mergeCell ref="S262:S263"/>
    <mergeCell ref="T262:T263"/>
    <mergeCell ref="U262:U263"/>
    <mergeCell ref="P260:P261"/>
    <mergeCell ref="L262:L263"/>
    <mergeCell ref="M262:M263"/>
    <mergeCell ref="N262:N263"/>
    <mergeCell ref="O262:O263"/>
    <mergeCell ref="P262:P263"/>
    <mergeCell ref="Q262:Q263"/>
    <mergeCell ref="F262:F263"/>
    <mergeCell ref="G262:G263"/>
    <mergeCell ref="H262:H263"/>
    <mergeCell ref="I262:I263"/>
    <mergeCell ref="J262:J263"/>
    <mergeCell ref="K262:K263"/>
    <mergeCell ref="R264:R265"/>
    <mergeCell ref="S264:S265"/>
    <mergeCell ref="T264:T265"/>
    <mergeCell ref="Q264:Q265"/>
    <mergeCell ref="B266:C267"/>
    <mergeCell ref="K264:K265"/>
    <mergeCell ref="L264:L265"/>
    <mergeCell ref="M264:M265"/>
    <mergeCell ref="N264:N265"/>
    <mergeCell ref="O264:O265"/>
    <mergeCell ref="P264:P265"/>
    <mergeCell ref="E264:E265"/>
    <mergeCell ref="F264:F265"/>
    <mergeCell ref="G264:G265"/>
    <mergeCell ref="H264:H265"/>
    <mergeCell ref="I264:I265"/>
    <mergeCell ref="J264:J265"/>
    <mergeCell ref="D264:D265"/>
    <mergeCell ref="Q266:Q267"/>
    <mergeCell ref="R266:R267"/>
    <mergeCell ref="S266:S267"/>
    <mergeCell ref="T266:T267"/>
    <mergeCell ref="U266:U267"/>
    <mergeCell ref="B264:C265"/>
    <mergeCell ref="A268:A271"/>
    <mergeCell ref="B268:C269"/>
    <mergeCell ref="K266:K267"/>
    <mergeCell ref="L266:L267"/>
    <mergeCell ref="M266:M267"/>
    <mergeCell ref="N266:N267"/>
    <mergeCell ref="O266:O267"/>
    <mergeCell ref="P266:P267"/>
    <mergeCell ref="E266:E267"/>
    <mergeCell ref="F266:F267"/>
    <mergeCell ref="G266:G267"/>
    <mergeCell ref="H266:H267"/>
    <mergeCell ref="I266:I267"/>
    <mergeCell ref="J266:J267"/>
    <mergeCell ref="D266:D267"/>
    <mergeCell ref="D270:D271"/>
    <mergeCell ref="E270:E271"/>
    <mergeCell ref="A264:A267"/>
    <mergeCell ref="R268:R269"/>
    <mergeCell ref="S268:S269"/>
    <mergeCell ref="T268:T269"/>
    <mergeCell ref="U268:U269"/>
    <mergeCell ref="B270:C271"/>
    <mergeCell ref="L268:L269"/>
    <mergeCell ref="M268:M269"/>
    <mergeCell ref="N268:N269"/>
    <mergeCell ref="O268:O269"/>
    <mergeCell ref="P268:P269"/>
    <mergeCell ref="Q268:Q269"/>
    <mergeCell ref="D268:D269"/>
    <mergeCell ref="E268:E269"/>
    <mergeCell ref="F268:F269"/>
    <mergeCell ref="G268:G269"/>
    <mergeCell ref="I268:I269"/>
    <mergeCell ref="K268:K269"/>
    <mergeCell ref="T270:T271"/>
    <mergeCell ref="U270:U271"/>
    <mergeCell ref="N270:N271"/>
    <mergeCell ref="O270:O271"/>
    <mergeCell ref="P270:P271"/>
    <mergeCell ref="Q270:Q271"/>
    <mergeCell ref="R270:R271"/>
    <mergeCell ref="S270:S271"/>
    <mergeCell ref="F270:F271"/>
    <mergeCell ref="G270:G271"/>
    <mergeCell ref="I270:I271"/>
    <mergeCell ref="K270:K271"/>
    <mergeCell ref="L270:L271"/>
    <mergeCell ref="M270:M271"/>
    <mergeCell ref="U272:U273"/>
    <mergeCell ref="B274:C275"/>
    <mergeCell ref="O272:O273"/>
    <mergeCell ref="P272:P273"/>
    <mergeCell ref="Q272:Q273"/>
    <mergeCell ref="R272:R273"/>
    <mergeCell ref="S272:S273"/>
    <mergeCell ref="T272:T273"/>
    <mergeCell ref="G272:G273"/>
    <mergeCell ref="I272:I273"/>
    <mergeCell ref="K272:K273"/>
    <mergeCell ref="L272:L273"/>
    <mergeCell ref="M272:M273"/>
    <mergeCell ref="N272:N273"/>
    <mergeCell ref="D272:D273"/>
    <mergeCell ref="E272:E273"/>
    <mergeCell ref="F272:F273"/>
    <mergeCell ref="T274:T275"/>
    <mergeCell ref="U274:U275"/>
    <mergeCell ref="B272:C273"/>
    <mergeCell ref="A276:C277"/>
    <mergeCell ref="K274:K275"/>
    <mergeCell ref="L274:L275"/>
    <mergeCell ref="M274:M275"/>
    <mergeCell ref="N274:N275"/>
    <mergeCell ref="O274:O275"/>
    <mergeCell ref="P274:P275"/>
    <mergeCell ref="D274:D275"/>
    <mergeCell ref="E274:E275"/>
    <mergeCell ref="F274:F275"/>
    <mergeCell ref="G274:G275"/>
    <mergeCell ref="I274:I275"/>
    <mergeCell ref="A272:A275"/>
    <mergeCell ref="B97:B98"/>
    <mergeCell ref="A278:C279"/>
    <mergeCell ref="U278:U279"/>
    <mergeCell ref="P276:P277"/>
    <mergeCell ref="Q276:Q277"/>
    <mergeCell ref="R276:R277"/>
    <mergeCell ref="S276:S277"/>
    <mergeCell ref="T276:T277"/>
    <mergeCell ref="U276:U277"/>
    <mergeCell ref="J276:J277"/>
    <mergeCell ref="K276:K277"/>
    <mergeCell ref="L276:L277"/>
    <mergeCell ref="M276:M277"/>
    <mergeCell ref="N276:N277"/>
    <mergeCell ref="O276:O277"/>
    <mergeCell ref="E276:E277"/>
    <mergeCell ref="F276:F277"/>
    <mergeCell ref="G276:G277"/>
    <mergeCell ref="H276:H277"/>
    <mergeCell ref="I276:I277"/>
    <mergeCell ref="D276:D277"/>
    <mergeCell ref="Q274:Q275"/>
    <mergeCell ref="R274:R275"/>
    <mergeCell ref="S274:S275"/>
  </mergeCells>
  <phoneticPr fontId="28"/>
  <pageMargins left="0" right="0" top="0" bottom="0" header="0" footer="0"/>
  <pageSetup paperSize="9" scale="42" orientation="portrait" r:id="rId1"/>
  <rowBreaks count="2" manualBreakCount="2">
    <brk id="80" max="27" man="1"/>
    <brk id="172" max="2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D4D3-6A4A-4AD7-AB89-2F6F558E4533}">
  <sheetPr>
    <tabColor rgb="FFFF0066"/>
  </sheetPr>
  <dimension ref="A1:H203"/>
  <sheetViews>
    <sheetView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H7" sqref="G6:H7"/>
    </sheetView>
  </sheetViews>
  <sheetFormatPr defaultColWidth="9" defaultRowHeight="13.5"/>
  <cols>
    <col min="1" max="1" width="9" customWidth="1"/>
    <col min="2" max="2" width="25" customWidth="1"/>
    <col min="3" max="3" width="15.375" style="302" customWidth="1"/>
    <col min="4" max="4" width="12.875" customWidth="1"/>
    <col min="5" max="6" width="10.625" bestFit="1" customWidth="1"/>
    <col min="7" max="7" width="11.125" bestFit="1" customWidth="1"/>
    <col min="8" max="8" width="15" bestFit="1" customWidth="1"/>
  </cols>
  <sheetData>
    <row r="1" spans="1:5" ht="42" customHeight="1">
      <c r="B1" s="369" t="s">
        <v>313</v>
      </c>
      <c r="C1" s="234"/>
      <c r="D1" s="2"/>
    </row>
    <row r="2" spans="1:5" s="15" customFormat="1" ht="20.100000000000001" customHeight="1">
      <c r="A2" s="14"/>
      <c r="B2" s="204" t="s">
        <v>311</v>
      </c>
      <c r="C2" s="370" t="s">
        <v>314</v>
      </c>
    </row>
    <row r="3" spans="1:5" s="15" customFormat="1" ht="20.100000000000001" customHeight="1">
      <c r="A3" s="487"/>
      <c r="B3" s="365" t="s">
        <v>116</v>
      </c>
      <c r="C3" s="244">
        <v>2017995</v>
      </c>
      <c r="D3" s="23"/>
    </row>
    <row r="4" spans="1:5" s="15" customFormat="1" ht="20.100000000000001" customHeight="1">
      <c r="A4" s="487"/>
      <c r="B4" s="365" t="s">
        <v>312</v>
      </c>
      <c r="C4" s="244">
        <v>6849789</v>
      </c>
      <c r="D4" s="23"/>
    </row>
    <row r="5" spans="1:5" s="15" customFormat="1" ht="20.100000000000001" customHeight="1">
      <c r="A5" s="487"/>
      <c r="B5" s="366" t="s">
        <v>307</v>
      </c>
      <c r="C5" s="244">
        <v>5258596</v>
      </c>
    </row>
    <row r="6" spans="1:5" s="15" customFormat="1" ht="20.100000000000001" customHeight="1">
      <c r="A6" s="487"/>
      <c r="B6" s="366" t="s">
        <v>308</v>
      </c>
      <c r="C6" s="244">
        <v>2048148</v>
      </c>
    </row>
    <row r="7" spans="1:5" s="15" customFormat="1" ht="20.100000000000001" customHeight="1">
      <c r="A7" s="487"/>
      <c r="B7" s="367" t="s">
        <v>100</v>
      </c>
      <c r="C7" s="244">
        <v>5535570</v>
      </c>
    </row>
    <row r="8" spans="1:5" s="15" customFormat="1" ht="20.100000000000001" customHeight="1">
      <c r="A8" s="487"/>
      <c r="B8" s="366" t="s">
        <v>309</v>
      </c>
      <c r="C8" s="244">
        <v>8201810</v>
      </c>
    </row>
    <row r="9" spans="1:5" s="15" customFormat="1" ht="19.5" customHeight="1">
      <c r="A9" s="487"/>
      <c r="B9" s="367" t="s">
        <v>104</v>
      </c>
      <c r="C9" s="244">
        <v>4939717</v>
      </c>
    </row>
    <row r="10" spans="1:5" s="15" customFormat="1" ht="20.100000000000001" customHeight="1">
      <c r="A10" s="487"/>
      <c r="B10" s="367" t="s">
        <v>110</v>
      </c>
      <c r="C10" s="244">
        <v>1610075</v>
      </c>
    </row>
    <row r="11" spans="1:5" s="15" customFormat="1" ht="20.100000000000001" customHeight="1">
      <c r="A11" s="487"/>
      <c r="B11" s="367" t="s">
        <v>131</v>
      </c>
      <c r="C11" s="244">
        <v>1711640</v>
      </c>
    </row>
    <row r="12" spans="1:5" s="15" customFormat="1" ht="20.100000000000001" customHeight="1">
      <c r="A12" s="487"/>
      <c r="B12" s="367" t="s">
        <v>115</v>
      </c>
      <c r="C12" s="244">
        <v>12102320</v>
      </c>
      <c r="E12" s="310"/>
    </row>
    <row r="13" spans="1:5" s="15" customFormat="1" ht="20.100000000000001" customHeight="1">
      <c r="A13" s="487"/>
      <c r="B13" s="367" t="s">
        <v>37</v>
      </c>
      <c r="C13" s="244">
        <v>2468000</v>
      </c>
    </row>
    <row r="14" spans="1:5" s="15" customFormat="1" ht="20.100000000000001" customHeight="1">
      <c r="A14" s="487"/>
      <c r="B14" s="366" t="s">
        <v>230</v>
      </c>
      <c r="C14" s="244">
        <v>6329680</v>
      </c>
    </row>
    <row r="15" spans="1:5" s="15" customFormat="1" ht="20.100000000000001" customHeight="1">
      <c r="A15" s="487"/>
      <c r="B15" s="368" t="s">
        <v>310</v>
      </c>
      <c r="C15" s="244">
        <v>5812746</v>
      </c>
      <c r="E15" s="308" t="s">
        <v>251</v>
      </c>
    </row>
    <row r="16" spans="1:5" s="15" customFormat="1" ht="20.100000000000001" customHeight="1">
      <c r="A16" s="444" t="s">
        <v>30</v>
      </c>
      <c r="B16" s="123" t="s">
        <v>142</v>
      </c>
      <c r="C16" s="244" t="e">
        <f>SUM(#REF!)</f>
        <v>#REF!</v>
      </c>
    </row>
    <row r="17" spans="1:3" s="15" customFormat="1" ht="20.100000000000001" customHeight="1">
      <c r="A17" s="445"/>
      <c r="B17" s="40" t="s">
        <v>31</v>
      </c>
      <c r="C17" s="244" t="e">
        <f>SUM(#REF!)</f>
        <v>#REF!</v>
      </c>
    </row>
    <row r="18" spans="1:3" s="15" customFormat="1" ht="20.100000000000001" customHeight="1">
      <c r="A18" s="445"/>
      <c r="B18" s="39" t="s">
        <v>116</v>
      </c>
      <c r="C18" s="244" t="e">
        <f>SUM(#REF!)</f>
        <v>#REF!</v>
      </c>
    </row>
    <row r="19" spans="1:3" s="15" customFormat="1" ht="20.100000000000001" customHeight="1">
      <c r="A19" s="446"/>
      <c r="B19" s="84" t="s">
        <v>117</v>
      </c>
      <c r="C19" s="244" t="e">
        <f>SUM(#REF!)</f>
        <v>#REF!</v>
      </c>
    </row>
    <row r="20" spans="1:3" s="15" customFormat="1" ht="20.100000000000001" customHeight="1">
      <c r="A20" s="446"/>
      <c r="B20" s="101" t="s">
        <v>118</v>
      </c>
      <c r="C20" s="244" t="e">
        <f>SUM(#REF!)</f>
        <v>#REF!</v>
      </c>
    </row>
    <row r="21" spans="1:3" s="15" customFormat="1" ht="20.100000000000001" customHeight="1">
      <c r="A21" s="446"/>
      <c r="B21" s="101" t="s">
        <v>119</v>
      </c>
      <c r="C21" s="244" t="e">
        <f>SUM(#REF!)</f>
        <v>#REF!</v>
      </c>
    </row>
    <row r="22" spans="1:3" s="15" customFormat="1" ht="20.100000000000001" customHeight="1">
      <c r="A22" s="445"/>
      <c r="B22" s="89" t="s">
        <v>120</v>
      </c>
      <c r="C22" s="244" t="e">
        <f>SUM(#REF!)</f>
        <v>#REF!</v>
      </c>
    </row>
    <row r="23" spans="1:3" s="15" customFormat="1" ht="20.100000000000001" customHeight="1">
      <c r="A23" s="445"/>
      <c r="B23" s="38" t="s">
        <v>121</v>
      </c>
      <c r="C23" s="244" t="e">
        <f>SUM(#REF!)</f>
        <v>#REF!</v>
      </c>
    </row>
    <row r="24" spans="1:3" s="15" customFormat="1" ht="20.100000000000001" customHeight="1">
      <c r="A24" s="445"/>
      <c r="B24" s="38" t="s">
        <v>123</v>
      </c>
      <c r="C24" s="244" t="e">
        <f>SUM(#REF!)</f>
        <v>#REF!</v>
      </c>
    </row>
    <row r="25" spans="1:3" s="15" customFormat="1" ht="20.100000000000001" customHeight="1">
      <c r="A25" s="445"/>
      <c r="B25" s="38" t="s">
        <v>124</v>
      </c>
      <c r="C25" s="244" t="e">
        <f>SUM(#REF!)</f>
        <v>#REF!</v>
      </c>
    </row>
    <row r="26" spans="1:3" s="15" customFormat="1" ht="20.100000000000001" customHeight="1">
      <c r="A26" s="445"/>
      <c r="B26" s="38" t="s">
        <v>125</v>
      </c>
      <c r="C26" s="244" t="e">
        <f>SUM(#REF!)</f>
        <v>#REF!</v>
      </c>
    </row>
    <row r="27" spans="1:3" s="15" customFormat="1" ht="20.100000000000001" customHeight="1">
      <c r="A27" s="445"/>
      <c r="B27" s="38" t="s">
        <v>91</v>
      </c>
      <c r="C27" s="244" t="e">
        <f>SUM(#REF!)</f>
        <v>#REF!</v>
      </c>
    </row>
    <row r="28" spans="1:3" s="15" customFormat="1" ht="20.100000000000001" customHeight="1">
      <c r="A28" s="445"/>
      <c r="B28" s="38" t="s">
        <v>93</v>
      </c>
      <c r="C28" s="244" t="e">
        <f>SUM(#REF!)</f>
        <v>#REF!</v>
      </c>
    </row>
    <row r="29" spans="1:3" s="15" customFormat="1" ht="20.100000000000001" customHeight="1">
      <c r="A29" s="445"/>
      <c r="B29" s="39" t="s">
        <v>96</v>
      </c>
      <c r="C29" s="244" t="e">
        <f>SUM(#REF!)</f>
        <v>#REF!</v>
      </c>
    </row>
    <row r="30" spans="1:3" s="15" customFormat="1" ht="20.100000000000001" customHeight="1">
      <c r="A30" s="445"/>
      <c r="B30" s="39" t="s">
        <v>24</v>
      </c>
      <c r="C30" s="244" t="e">
        <f>SUM(#REF!)</f>
        <v>#REF!</v>
      </c>
    </row>
    <row r="31" spans="1:3" s="15" customFormat="1" ht="20.100000000000001" customHeight="1">
      <c r="A31" s="445"/>
      <c r="B31" s="39" t="s">
        <v>99</v>
      </c>
      <c r="C31" s="244" t="e">
        <f>SUM(#REF!)</f>
        <v>#REF!</v>
      </c>
    </row>
    <row r="32" spans="1:3" s="15" customFormat="1" ht="20.100000000000001" customHeight="1">
      <c r="A32" s="445"/>
      <c r="B32" s="39" t="s">
        <v>101</v>
      </c>
      <c r="C32" s="244" t="e">
        <f>SUM(#REF!)</f>
        <v>#REF!</v>
      </c>
    </row>
    <row r="33" spans="1:5" s="15" customFormat="1" ht="20.100000000000001" customHeight="1">
      <c r="A33" s="445"/>
      <c r="B33" s="38" t="s">
        <v>103</v>
      </c>
      <c r="C33" s="244" t="e">
        <f>SUM(#REF!)</f>
        <v>#REF!</v>
      </c>
    </row>
    <row r="34" spans="1:5" s="15" customFormat="1" ht="20.100000000000001" customHeight="1">
      <c r="A34" s="445"/>
      <c r="B34" s="39" t="s">
        <v>128</v>
      </c>
      <c r="C34" s="244" t="e">
        <f>SUM(#REF!)</f>
        <v>#REF!</v>
      </c>
    </row>
    <row r="35" spans="1:5" s="15" customFormat="1" ht="20.100000000000001" customHeight="1">
      <c r="A35" s="445"/>
      <c r="B35" s="39" t="s">
        <v>105</v>
      </c>
      <c r="C35" s="244" t="e">
        <f>SUM(#REF!)</f>
        <v>#REF!</v>
      </c>
    </row>
    <row r="36" spans="1:5" s="15" customFormat="1" ht="20.100000000000001" customHeight="1">
      <c r="A36" s="445"/>
      <c r="B36" s="219" t="s">
        <v>229</v>
      </c>
      <c r="C36" s="244" t="e">
        <f>SUM(#REF!)</f>
        <v>#REF!</v>
      </c>
    </row>
    <row r="37" spans="1:5" s="15" customFormat="1" ht="20.100000000000001" customHeight="1">
      <c r="A37" s="445"/>
      <c r="B37" s="39" t="s">
        <v>106</v>
      </c>
      <c r="C37" s="244" t="e">
        <f>SUM(#REF!)</f>
        <v>#REF!</v>
      </c>
    </row>
    <row r="38" spans="1:5" s="15" customFormat="1" ht="20.100000000000001" customHeight="1">
      <c r="A38" s="445"/>
      <c r="B38" s="39" t="s">
        <v>107</v>
      </c>
      <c r="C38" s="244" t="e">
        <f>SUM(#REF!)</f>
        <v>#REF!</v>
      </c>
    </row>
    <row r="39" spans="1:5" s="15" customFormat="1" ht="20.100000000000001" customHeight="1">
      <c r="A39" s="445"/>
      <c r="B39" s="39" t="s">
        <v>108</v>
      </c>
      <c r="C39" s="244" t="e">
        <f>SUM(#REF!)</f>
        <v>#REF!</v>
      </c>
    </row>
    <row r="40" spans="1:5" s="15" customFormat="1" ht="20.100000000000001" customHeight="1">
      <c r="A40" s="445"/>
      <c r="B40" s="39" t="s">
        <v>109</v>
      </c>
      <c r="C40" s="244" t="e">
        <f>SUM(#REF!)</f>
        <v>#REF!</v>
      </c>
      <c r="E40" s="23"/>
    </row>
    <row r="41" spans="1:5" s="15" customFormat="1" ht="20.100000000000001" customHeight="1">
      <c r="A41" s="445"/>
      <c r="B41" s="39" t="s">
        <v>110</v>
      </c>
      <c r="C41" s="244" t="e">
        <f>SUM(#REF!)</f>
        <v>#REF!</v>
      </c>
    </row>
    <row r="42" spans="1:5" s="15" customFormat="1" ht="20.100000000000001" customHeight="1">
      <c r="A42" s="445"/>
      <c r="B42" s="39" t="s">
        <v>111</v>
      </c>
      <c r="C42" s="244" t="e">
        <f>SUM(#REF!)</f>
        <v>#REF!</v>
      </c>
    </row>
    <row r="43" spans="1:5" s="15" customFormat="1" ht="20.100000000000001" customHeight="1">
      <c r="A43" s="445"/>
      <c r="B43" s="39" t="s">
        <v>112</v>
      </c>
      <c r="C43" s="244" t="e">
        <f>SUM(#REF!)</f>
        <v>#REF!</v>
      </c>
    </row>
    <row r="44" spans="1:5" s="15" customFormat="1" ht="20.100000000000001" customHeight="1">
      <c r="A44" s="445"/>
      <c r="B44" s="39" t="s">
        <v>113</v>
      </c>
      <c r="C44" s="244" t="e">
        <f>SUM(#REF!)</f>
        <v>#REF!</v>
      </c>
    </row>
    <row r="45" spans="1:5" s="15" customFormat="1" ht="20.100000000000001" customHeight="1">
      <c r="A45" s="445"/>
      <c r="B45" s="39" t="s">
        <v>26</v>
      </c>
      <c r="C45" s="244" t="e">
        <f>SUM(#REF!)</f>
        <v>#REF!</v>
      </c>
    </row>
    <row r="46" spans="1:5" s="15" customFormat="1" ht="20.100000000000001" customHeight="1">
      <c r="A46" s="445"/>
      <c r="B46" s="39" t="s">
        <v>114</v>
      </c>
      <c r="C46" s="244" t="e">
        <f>SUM(#REF!)</f>
        <v>#REF!</v>
      </c>
    </row>
    <row r="47" spans="1:5" s="15" customFormat="1" ht="20.100000000000001" customHeight="1">
      <c r="A47" s="445"/>
      <c r="B47" s="39" t="s">
        <v>133</v>
      </c>
      <c r="C47" s="244" t="e">
        <f>SUM(#REF!)</f>
        <v>#REF!</v>
      </c>
    </row>
    <row r="48" spans="1:5" s="15" customFormat="1" ht="19.5" customHeight="1">
      <c r="A48" s="445"/>
      <c r="B48" s="39" t="s">
        <v>131</v>
      </c>
      <c r="C48" s="244" t="e">
        <f>SUM(#REF!)</f>
        <v>#REF!</v>
      </c>
    </row>
    <row r="49" spans="1:7" s="15" customFormat="1" ht="20.100000000000001" customHeight="1">
      <c r="A49" s="445"/>
      <c r="B49" s="39" t="s">
        <v>115</v>
      </c>
      <c r="C49" s="244" t="e">
        <f>SUM(#REF!)</f>
        <v>#REF!</v>
      </c>
    </row>
    <row r="50" spans="1:7" s="15" customFormat="1" ht="20.100000000000001" customHeight="1">
      <c r="A50" s="445"/>
      <c r="B50" s="39" t="s">
        <v>27</v>
      </c>
      <c r="C50" s="244" t="e">
        <f>SUM(#REF!)</f>
        <v>#REF!</v>
      </c>
    </row>
    <row r="51" spans="1:7" s="15" customFormat="1" ht="19.5" customHeight="1">
      <c r="A51" s="445"/>
      <c r="B51" s="39" t="s">
        <v>37</v>
      </c>
      <c r="C51" s="244" t="e">
        <f>SUM(#REF!)</f>
        <v>#REF!</v>
      </c>
    </row>
    <row r="52" spans="1:7" s="15" customFormat="1" ht="20.100000000000001" customHeight="1">
      <c r="A52" s="445"/>
      <c r="B52" s="219" t="s">
        <v>230</v>
      </c>
      <c r="C52" s="244" t="e">
        <f>SUM(#REF!)</f>
        <v>#REF!</v>
      </c>
    </row>
    <row r="53" spans="1:7" s="15" customFormat="1" ht="20.100000000000001" customHeight="1">
      <c r="A53" s="445"/>
      <c r="B53" s="219" t="s">
        <v>231</v>
      </c>
      <c r="C53" s="244" t="e">
        <f>SUM(#REF!)</f>
        <v>#REF!</v>
      </c>
    </row>
    <row r="54" spans="1:7" s="15" customFormat="1" ht="20.100000000000001" customHeight="1">
      <c r="A54" s="445"/>
      <c r="B54" s="219" t="s">
        <v>233</v>
      </c>
      <c r="C54" s="244" t="e">
        <f>SUM(#REF!)</f>
        <v>#REF!</v>
      </c>
    </row>
    <row r="55" spans="1:7" s="15" customFormat="1" ht="20.100000000000001" customHeight="1">
      <c r="A55" s="445"/>
      <c r="B55" s="219" t="s">
        <v>248</v>
      </c>
      <c r="C55" s="244" t="e">
        <f>SUM(#REF!)</f>
        <v>#REF!</v>
      </c>
    </row>
    <row r="56" spans="1:7" s="15" customFormat="1" ht="20.100000000000001" customHeight="1">
      <c r="A56" s="445"/>
      <c r="B56" s="219" t="s">
        <v>246</v>
      </c>
      <c r="C56" s="244" t="e">
        <f>SUM(#REF!)</f>
        <v>#REF!</v>
      </c>
    </row>
    <row r="57" spans="1:7" s="15" customFormat="1" ht="20.100000000000001" customHeight="1">
      <c r="A57" s="445"/>
      <c r="B57" s="124" t="s">
        <v>143</v>
      </c>
      <c r="C57" s="244" t="e">
        <f>SUM(#REF!)</f>
        <v>#REF!</v>
      </c>
    </row>
    <row r="58" spans="1:7" s="15" customFormat="1" ht="20.100000000000001" customHeight="1">
      <c r="A58" s="445"/>
      <c r="B58" s="219" t="s">
        <v>263</v>
      </c>
      <c r="C58" s="244"/>
    </row>
    <row r="59" spans="1:7" s="15" customFormat="1" ht="20.100000000000001" customHeight="1">
      <c r="A59" s="445"/>
      <c r="B59" s="156" t="s">
        <v>282</v>
      </c>
      <c r="C59" s="244"/>
    </row>
    <row r="60" spans="1:7" s="15" customFormat="1" ht="20.100000000000001" customHeight="1">
      <c r="A60" s="445"/>
      <c r="B60" s="352" t="s">
        <v>291</v>
      </c>
      <c r="C60" s="244"/>
    </row>
    <row r="61" spans="1:7" s="15" customFormat="1" ht="20.100000000000001" customHeight="1">
      <c r="A61" s="445"/>
      <c r="B61" s="39" t="s">
        <v>95</v>
      </c>
      <c r="C61" s="244" t="e">
        <f>SUM(#REF!)</f>
        <v>#REF!</v>
      </c>
    </row>
    <row r="62" spans="1:7" s="15" customFormat="1" ht="20.100000000000001" customHeight="1">
      <c r="A62" s="445"/>
      <c r="B62" s="100" t="s">
        <v>38</v>
      </c>
      <c r="C62" s="244" t="e">
        <f>SUM(#REF!)</f>
        <v>#REF!</v>
      </c>
      <c r="D62" s="23"/>
    </row>
    <row r="63" spans="1:7" s="15" customFormat="1" ht="20.100000000000001" customHeight="1">
      <c r="A63" s="445"/>
      <c r="B63" s="156" t="s">
        <v>306</v>
      </c>
      <c r="C63" s="244"/>
      <c r="D63" s="23"/>
    </row>
    <row r="64" spans="1:7" s="15" customFormat="1" ht="20.100000000000001" customHeight="1">
      <c r="A64" s="445"/>
      <c r="B64" s="41" t="s">
        <v>126</v>
      </c>
      <c r="C64" s="244" t="e">
        <f>SUM(#REF!)</f>
        <v>#REF!</v>
      </c>
      <c r="D64" s="23"/>
      <c r="E64" s="43"/>
      <c r="F64" s="23"/>
      <c r="G64" s="23"/>
    </row>
    <row r="65" spans="1:8" s="15" customFormat="1" ht="20.100000000000001" customHeight="1">
      <c r="A65" s="480" t="s">
        <v>39</v>
      </c>
      <c r="B65" s="481"/>
      <c r="C65" s="244" t="e">
        <f>SUM(#REF!)</f>
        <v>#REF!</v>
      </c>
      <c r="D65" s="221"/>
      <c r="E65" s="43"/>
      <c r="G65" s="221"/>
      <c r="H65" s="222"/>
    </row>
    <row r="66" spans="1:8" s="15" customFormat="1" ht="20.100000000000001" customHeight="1">
      <c r="A66" s="482" t="s">
        <v>40</v>
      </c>
      <c r="B66" s="483"/>
      <c r="C66" s="244" t="e">
        <f>SUM(#REF!)</f>
        <v>#REF!</v>
      </c>
    </row>
    <row r="67" spans="1:8" s="15" customFormat="1" ht="20.100000000000001" customHeight="1">
      <c r="A67" s="484"/>
      <c r="B67" s="485"/>
      <c r="C67" s="289" t="e">
        <f>C66/C65</f>
        <v>#REF!</v>
      </c>
    </row>
    <row r="68" spans="1:8" s="15" customFormat="1" ht="20.100000000000001" customHeight="1">
      <c r="A68" s="486" t="s">
        <v>41</v>
      </c>
      <c r="B68" s="364" t="s">
        <v>42</v>
      </c>
      <c r="C68" s="75" t="e">
        <f>SUM(#REF!)</f>
        <v>#REF!</v>
      </c>
    </row>
    <row r="69" spans="1:8" s="15" customFormat="1" ht="20.100000000000001" customHeight="1">
      <c r="A69" s="486"/>
      <c r="B69" s="364" t="s">
        <v>43</v>
      </c>
      <c r="C69" s="115" t="e">
        <f>C68/(#REF!+#REF!)</f>
        <v>#REF!</v>
      </c>
    </row>
    <row r="70" spans="1:8" s="15" customFormat="1" ht="20.100000000000001" customHeight="1">
      <c r="A70" s="479" t="s">
        <v>44</v>
      </c>
      <c r="B70" s="432" t="s">
        <v>45</v>
      </c>
      <c r="C70" s="75" t="e">
        <f>SUM(#REF!)</f>
        <v>#REF!</v>
      </c>
    </row>
    <row r="71" spans="1:8" s="15" customFormat="1" ht="20.100000000000001" customHeight="1">
      <c r="A71" s="460"/>
      <c r="B71" s="432"/>
      <c r="C71" s="289" t="e">
        <f t="shared" ref="C71" si="0">C70/C16</f>
        <v>#REF!</v>
      </c>
    </row>
    <row r="72" spans="1:8" s="15" customFormat="1" ht="20.100000000000001" customHeight="1">
      <c r="A72" s="460"/>
      <c r="B72" s="432" t="s">
        <v>46</v>
      </c>
      <c r="C72" s="75" t="e">
        <f>SUM(#REF!)</f>
        <v>#REF!</v>
      </c>
    </row>
    <row r="73" spans="1:8" s="15" customFormat="1" ht="20.100000000000001" customHeight="1">
      <c r="A73" s="460"/>
      <c r="B73" s="432"/>
      <c r="C73" s="115" t="e">
        <f t="shared" ref="C73" si="1">C72/C17</f>
        <v>#REF!</v>
      </c>
    </row>
    <row r="74" spans="1:8" s="15" customFormat="1" ht="20.100000000000001" customHeight="1">
      <c r="A74" s="460"/>
      <c r="B74" s="432" t="s">
        <v>47</v>
      </c>
      <c r="C74" s="75" t="e">
        <f>SUM(#REF!)</f>
        <v>#REF!</v>
      </c>
    </row>
    <row r="75" spans="1:8" s="15" customFormat="1" ht="20.100000000000001" customHeight="1">
      <c r="A75" s="460"/>
      <c r="B75" s="432"/>
      <c r="C75" s="115" t="e">
        <f t="shared" ref="C75" si="2">C74/C18</f>
        <v>#REF!</v>
      </c>
    </row>
    <row r="76" spans="1:8" s="15" customFormat="1" ht="20.100000000000001" customHeight="1">
      <c r="A76" s="460"/>
      <c r="B76" s="432" t="s">
        <v>48</v>
      </c>
      <c r="C76" s="73" t="e">
        <f>SUM(#REF!)</f>
        <v>#REF!</v>
      </c>
    </row>
    <row r="77" spans="1:8" s="15" customFormat="1" ht="20.100000000000001" customHeight="1">
      <c r="A77" s="460"/>
      <c r="B77" s="432"/>
      <c r="C77" s="115" t="e">
        <f t="shared" ref="C77" si="3">C76/C19</f>
        <v>#REF!</v>
      </c>
    </row>
    <row r="78" spans="1:8" s="15" customFormat="1" ht="20.100000000000001" customHeight="1">
      <c r="A78" s="460"/>
      <c r="B78" s="438" t="s">
        <v>12</v>
      </c>
      <c r="C78" s="75" t="e">
        <f>SUM(#REF!)</f>
        <v>#REF!</v>
      </c>
    </row>
    <row r="79" spans="1:8" s="15" customFormat="1" ht="20.100000000000001" customHeight="1">
      <c r="A79" s="460"/>
      <c r="B79" s="438"/>
      <c r="C79" s="115" t="e">
        <f>C78/C22</f>
        <v>#REF!</v>
      </c>
    </row>
    <row r="80" spans="1:8" s="15" customFormat="1" ht="20.100000000000001" customHeight="1">
      <c r="A80" s="460"/>
      <c r="B80" s="438" t="s">
        <v>49</v>
      </c>
      <c r="C80" s="75" t="e">
        <f>SUM(#REF!)</f>
        <v>#REF!</v>
      </c>
    </row>
    <row r="81" spans="1:3" s="15" customFormat="1" ht="20.100000000000001" customHeight="1">
      <c r="A81" s="460"/>
      <c r="B81" s="438"/>
      <c r="C81" s="115" t="e">
        <f t="shared" ref="C81" si="4">C80/C23</f>
        <v>#REF!</v>
      </c>
    </row>
    <row r="82" spans="1:3" s="15" customFormat="1" ht="20.100000000000001" customHeight="1">
      <c r="A82" s="460"/>
      <c r="B82" s="438" t="s">
        <v>32</v>
      </c>
      <c r="C82" s="75" t="e">
        <f>SUM(#REF!)</f>
        <v>#REF!</v>
      </c>
    </row>
    <row r="83" spans="1:3" s="15" customFormat="1" ht="20.100000000000001" customHeight="1">
      <c r="A83" s="460"/>
      <c r="B83" s="438"/>
      <c r="C83" s="115" t="e">
        <f>C82/#REF!</f>
        <v>#REF!</v>
      </c>
    </row>
    <row r="84" spans="1:3" s="15" customFormat="1" ht="20.100000000000001" customHeight="1">
      <c r="A84" s="460"/>
      <c r="B84" s="418" t="s">
        <v>15</v>
      </c>
      <c r="C84" s="75" t="e">
        <f>SUM(#REF!)</f>
        <v>#REF!</v>
      </c>
    </row>
    <row r="85" spans="1:3" s="15" customFormat="1" ht="20.100000000000001" customHeight="1">
      <c r="A85" s="460"/>
      <c r="B85" s="420"/>
      <c r="C85" s="115" t="e">
        <f>C84/C24</f>
        <v>#REF!</v>
      </c>
    </row>
    <row r="86" spans="1:3" s="15" customFormat="1" ht="20.100000000000001" customHeight="1">
      <c r="A86" s="460"/>
      <c r="B86" s="418" t="s">
        <v>50</v>
      </c>
      <c r="C86" s="75" t="e">
        <f>SUM(#REF!)</f>
        <v>#REF!</v>
      </c>
    </row>
    <row r="87" spans="1:3" s="15" customFormat="1" ht="20.100000000000001" customHeight="1">
      <c r="A87" s="460"/>
      <c r="B87" s="420"/>
      <c r="C87" s="115" t="e">
        <f>C86/C25</f>
        <v>#REF!</v>
      </c>
    </row>
    <row r="88" spans="1:3" s="15" customFormat="1" ht="20.100000000000001" customHeight="1">
      <c r="A88" s="460"/>
      <c r="B88" s="416" t="s">
        <v>51</v>
      </c>
      <c r="C88" s="292" t="e">
        <f>SUM(#REF!)</f>
        <v>#REF!</v>
      </c>
    </row>
    <row r="89" spans="1:3" s="15" customFormat="1" ht="20.100000000000001" customHeight="1">
      <c r="A89" s="460"/>
      <c r="B89" s="417"/>
      <c r="C89" s="115" t="e">
        <f>C88/C26</f>
        <v>#REF!</v>
      </c>
    </row>
    <row r="90" spans="1:3" s="15" customFormat="1" ht="20.100000000000001" customHeight="1">
      <c r="A90" s="460"/>
      <c r="B90" s="418" t="s">
        <v>52</v>
      </c>
      <c r="C90" s="75" t="e">
        <f>SUM(#REF!)</f>
        <v>#REF!</v>
      </c>
    </row>
    <row r="91" spans="1:3" s="15" customFormat="1" ht="20.100000000000001" customHeight="1">
      <c r="A91" s="460"/>
      <c r="B91" s="420"/>
      <c r="C91" s="115" t="e">
        <f>C90/C27</f>
        <v>#REF!</v>
      </c>
    </row>
    <row r="92" spans="1:3" s="15" customFormat="1" ht="20.100000000000001" customHeight="1">
      <c r="A92" s="460"/>
      <c r="B92" s="416" t="s">
        <v>33</v>
      </c>
      <c r="C92" s="73" t="e">
        <f>SUM(#REF!)</f>
        <v>#REF!</v>
      </c>
    </row>
    <row r="93" spans="1:3" s="15" customFormat="1" ht="20.100000000000001" customHeight="1">
      <c r="A93" s="460"/>
      <c r="B93" s="417"/>
      <c r="C93" s="115" t="e">
        <f>C92/C28</f>
        <v>#REF!</v>
      </c>
    </row>
    <row r="94" spans="1:3" s="15" customFormat="1" ht="20.100000000000001" customHeight="1">
      <c r="A94" s="460"/>
      <c r="B94" s="416" t="s">
        <v>21</v>
      </c>
      <c r="C94" s="294" t="e">
        <f>SUM(#REF!)</f>
        <v>#REF!</v>
      </c>
    </row>
    <row r="95" spans="1:3" s="15" customFormat="1" ht="20.100000000000001" customHeight="1">
      <c r="A95" s="460"/>
      <c r="B95" s="417"/>
      <c r="C95" s="115" t="e">
        <f>C94/C29</f>
        <v>#REF!</v>
      </c>
    </row>
    <row r="96" spans="1:3" s="15" customFormat="1" ht="20.100000000000001" customHeight="1">
      <c r="A96" s="460"/>
      <c r="B96" s="416" t="s">
        <v>22</v>
      </c>
      <c r="C96" s="73" t="e">
        <f>SUM(#REF!)</f>
        <v>#REF!</v>
      </c>
    </row>
    <row r="97" spans="1:8" s="15" customFormat="1" ht="20.100000000000001" customHeight="1">
      <c r="A97" s="460"/>
      <c r="B97" s="417"/>
      <c r="C97" s="115" t="e">
        <f>C96/C30</f>
        <v>#REF!</v>
      </c>
    </row>
    <row r="98" spans="1:8" s="15" customFormat="1" ht="20.100000000000001" customHeight="1">
      <c r="A98" s="460"/>
      <c r="B98" s="416" t="s">
        <v>53</v>
      </c>
      <c r="C98" s="292" t="e">
        <f>SUM(#REF!)</f>
        <v>#REF!</v>
      </c>
    </row>
    <row r="99" spans="1:8" s="15" customFormat="1" ht="20.100000000000001" customHeight="1">
      <c r="A99" s="460"/>
      <c r="B99" s="417"/>
      <c r="C99" s="115" t="e">
        <f>C98/C31</f>
        <v>#REF!</v>
      </c>
    </row>
    <row r="100" spans="1:8" s="15" customFormat="1" ht="20.100000000000001" customHeight="1">
      <c r="A100" s="460"/>
      <c r="B100" s="416" t="s">
        <v>25</v>
      </c>
      <c r="C100" s="73" t="e">
        <f>SUM(#REF!)</f>
        <v>#REF!</v>
      </c>
    </row>
    <row r="101" spans="1:8" s="15" customFormat="1" ht="20.100000000000001" customHeight="1">
      <c r="A101" s="460"/>
      <c r="B101" s="417"/>
      <c r="C101" s="115" t="e">
        <f>C100/C32</f>
        <v>#REF!</v>
      </c>
    </row>
    <row r="102" spans="1:8" s="15" customFormat="1" ht="20.100000000000001" customHeight="1">
      <c r="A102" s="460"/>
      <c r="B102" s="416" t="s">
        <v>20</v>
      </c>
      <c r="C102" s="73" t="e">
        <f>SUM(#REF!)</f>
        <v>#REF!</v>
      </c>
    </row>
    <row r="103" spans="1:8" s="15" customFormat="1" ht="20.100000000000001" customHeight="1">
      <c r="A103" s="460"/>
      <c r="B103" s="417"/>
      <c r="C103" s="115" t="e">
        <f>C102/C33</f>
        <v>#REF!</v>
      </c>
    </row>
    <row r="104" spans="1:8" s="15" customFormat="1" ht="20.100000000000001" customHeight="1">
      <c r="A104" s="460"/>
      <c r="B104" s="416" t="s">
        <v>103</v>
      </c>
      <c r="C104" s="73" t="e">
        <f>SUM(#REF!)</f>
        <v>#REF!</v>
      </c>
    </row>
    <row r="105" spans="1:8" s="15" customFormat="1" ht="20.100000000000001" customHeight="1">
      <c r="A105" s="460"/>
      <c r="B105" s="417"/>
      <c r="C105" s="115" t="e">
        <f>C104/C34</f>
        <v>#REF!</v>
      </c>
    </row>
    <row r="106" spans="1:8" s="15" customFormat="1" ht="20.100000000000001" customHeight="1">
      <c r="A106" s="460"/>
      <c r="B106" s="416" t="s">
        <v>127</v>
      </c>
      <c r="C106" s="294" t="e">
        <f>SUM(#REF!)</f>
        <v>#REF!</v>
      </c>
    </row>
    <row r="107" spans="1:8" s="15" customFormat="1" ht="20.100000000000001" customHeight="1">
      <c r="A107" s="460"/>
      <c r="B107" s="417"/>
      <c r="C107" s="115" t="e">
        <f>C106/C35</f>
        <v>#REF!</v>
      </c>
    </row>
    <row r="108" spans="1:8" s="15" customFormat="1" ht="20.100000000000001" customHeight="1">
      <c r="A108" s="460"/>
      <c r="B108" s="416" t="s">
        <v>54</v>
      </c>
      <c r="C108" s="292" t="e">
        <f>SUM(#REF!)</f>
        <v>#REF!</v>
      </c>
    </row>
    <row r="109" spans="1:8" s="33" customFormat="1" ht="20.100000000000001" customHeight="1">
      <c r="A109" s="460"/>
      <c r="B109" s="417"/>
      <c r="C109" s="115" t="e">
        <f>C108/C37</f>
        <v>#REF!</v>
      </c>
      <c r="D109" s="15"/>
      <c r="E109" s="15"/>
      <c r="F109" s="15"/>
      <c r="G109" s="15"/>
      <c r="H109" s="15"/>
    </row>
    <row r="110" spans="1:8" s="33" customFormat="1" ht="20.100000000000001" customHeight="1">
      <c r="A110" s="460"/>
      <c r="B110" s="416" t="s">
        <v>23</v>
      </c>
      <c r="C110" s="73" t="e">
        <f>SUM(#REF!)</f>
        <v>#REF!</v>
      </c>
      <c r="D110" s="15"/>
      <c r="E110" s="15"/>
      <c r="F110" s="15"/>
      <c r="G110" s="15"/>
      <c r="H110" s="15"/>
    </row>
    <row r="111" spans="1:8" s="33" customFormat="1" ht="20.100000000000001" customHeight="1">
      <c r="A111" s="460"/>
      <c r="B111" s="417"/>
      <c r="C111" s="115" t="e">
        <f>C110/C38</f>
        <v>#REF!</v>
      </c>
      <c r="D111" s="15"/>
      <c r="E111" s="15"/>
      <c r="F111" s="15"/>
      <c r="G111" s="15"/>
      <c r="H111" s="15"/>
    </row>
    <row r="112" spans="1:8" s="33" customFormat="1" ht="20.100000000000001" customHeight="1">
      <c r="A112" s="460"/>
      <c r="B112" s="416" t="s">
        <v>107</v>
      </c>
      <c r="C112" s="115"/>
      <c r="D112" s="15"/>
      <c r="E112" s="15"/>
      <c r="F112" s="15"/>
      <c r="G112" s="15"/>
      <c r="H112" s="15"/>
    </row>
    <row r="113" spans="1:8" s="33" customFormat="1" ht="20.100000000000001" customHeight="1">
      <c r="A113" s="460"/>
      <c r="B113" s="417"/>
      <c r="C113" s="115"/>
      <c r="D113" s="15"/>
      <c r="E113" s="15"/>
      <c r="F113" s="15"/>
      <c r="G113" s="15"/>
      <c r="H113" s="15"/>
    </row>
    <row r="114" spans="1:8" s="33" customFormat="1" ht="20.100000000000001" customHeight="1">
      <c r="A114" s="460"/>
      <c r="B114" s="416" t="s">
        <v>55</v>
      </c>
      <c r="C114" s="292" t="e">
        <f>SUM(#REF!)</f>
        <v>#REF!</v>
      </c>
      <c r="D114" s="15"/>
      <c r="E114" s="15"/>
      <c r="F114" s="15"/>
      <c r="G114" s="15"/>
      <c r="H114" s="15"/>
    </row>
    <row r="115" spans="1:8" s="33" customFormat="1" ht="20.100000000000001" customHeight="1">
      <c r="A115" s="460"/>
      <c r="B115" s="417"/>
      <c r="C115" s="115" t="e">
        <f>C114/C42</f>
        <v>#REF!</v>
      </c>
      <c r="D115" s="15"/>
      <c r="E115" s="15"/>
      <c r="F115" s="15"/>
      <c r="G115" s="15"/>
      <c r="H115" s="15"/>
    </row>
    <row r="116" spans="1:8" s="33" customFormat="1" ht="20.100000000000001" customHeight="1">
      <c r="A116" s="460"/>
      <c r="B116" s="416" t="s">
        <v>34</v>
      </c>
      <c r="C116" s="292" t="e">
        <f>SUM(#REF!)</f>
        <v>#REF!</v>
      </c>
      <c r="D116" s="15"/>
      <c r="E116" s="15"/>
      <c r="F116" s="15"/>
      <c r="G116" s="15"/>
      <c r="H116" s="15"/>
    </row>
    <row r="117" spans="1:8" s="33" customFormat="1" ht="20.100000000000001" customHeight="1">
      <c r="A117" s="460"/>
      <c r="B117" s="417"/>
      <c r="C117" s="115" t="e">
        <f>C116/C47</f>
        <v>#REF!</v>
      </c>
      <c r="D117" s="15"/>
      <c r="E117" s="15"/>
      <c r="F117" s="15"/>
      <c r="G117" s="15"/>
      <c r="H117" s="15"/>
    </row>
    <row r="118" spans="1:8" s="33" customFormat="1" ht="20.100000000000001" customHeight="1">
      <c r="A118" s="460"/>
      <c r="B118" s="416" t="s">
        <v>35</v>
      </c>
      <c r="C118" s="292" t="e">
        <f>SUM(#REF!)</f>
        <v>#REF!</v>
      </c>
      <c r="D118" s="15"/>
      <c r="E118" s="15"/>
      <c r="F118" s="15"/>
      <c r="G118" s="15"/>
      <c r="H118" s="15"/>
    </row>
    <row r="119" spans="1:8" s="33" customFormat="1" ht="20.100000000000001" customHeight="1">
      <c r="A119" s="460"/>
      <c r="B119" s="417"/>
      <c r="C119" s="115" t="e">
        <f t="shared" ref="C119" si="5">C118/C41</f>
        <v>#REF!</v>
      </c>
      <c r="D119" s="15"/>
      <c r="E119" s="15"/>
      <c r="F119" s="15"/>
      <c r="G119" s="15"/>
      <c r="H119" s="15"/>
    </row>
    <row r="120" spans="1:8" s="33" customFormat="1" ht="20.100000000000001" customHeight="1">
      <c r="A120" s="460"/>
      <c r="B120" s="416" t="s">
        <v>36</v>
      </c>
      <c r="C120" s="292" t="e">
        <f>SUM(#REF!)</f>
        <v>#REF!</v>
      </c>
      <c r="D120" s="15"/>
      <c r="E120" s="15"/>
      <c r="F120" s="15"/>
      <c r="G120" s="15"/>
      <c r="H120" s="15"/>
    </row>
    <row r="121" spans="1:8" s="33" customFormat="1" ht="20.100000000000001" customHeight="1">
      <c r="A121" s="460"/>
      <c r="B121" s="417"/>
      <c r="C121" s="115" t="e">
        <f>C120/C45</f>
        <v>#REF!</v>
      </c>
      <c r="D121" s="15"/>
      <c r="E121" s="15"/>
      <c r="F121" s="15"/>
      <c r="G121" s="15"/>
      <c r="H121" s="15"/>
    </row>
    <row r="122" spans="1:8" s="33" customFormat="1" ht="20.100000000000001" customHeight="1">
      <c r="A122" s="460"/>
      <c r="B122" s="416" t="s">
        <v>129</v>
      </c>
      <c r="C122" s="115"/>
      <c r="D122" s="15"/>
      <c r="E122" s="15"/>
      <c r="F122" s="15"/>
      <c r="G122" s="15"/>
      <c r="H122" s="15"/>
    </row>
    <row r="123" spans="1:8" s="33" customFormat="1" ht="20.100000000000001" customHeight="1">
      <c r="A123" s="460"/>
      <c r="B123" s="417"/>
      <c r="C123" s="115"/>
      <c r="D123" s="15"/>
      <c r="E123" s="15"/>
      <c r="F123" s="15"/>
      <c r="G123" s="15"/>
      <c r="H123" s="15"/>
    </row>
    <row r="124" spans="1:8" s="33" customFormat="1" ht="20.100000000000001" customHeight="1">
      <c r="A124" s="460"/>
      <c r="B124" s="416" t="s">
        <v>130</v>
      </c>
      <c r="C124" s="115"/>
      <c r="D124" s="15"/>
      <c r="E124" s="15"/>
      <c r="F124" s="15"/>
      <c r="G124" s="15"/>
      <c r="H124" s="15"/>
    </row>
    <row r="125" spans="1:8" s="33" customFormat="1" ht="20.100000000000001" customHeight="1">
      <c r="A125" s="460"/>
      <c r="B125" s="417"/>
      <c r="C125" s="115"/>
      <c r="D125" s="15"/>
      <c r="E125" s="15"/>
      <c r="F125" s="15"/>
      <c r="G125" s="15"/>
      <c r="H125" s="15"/>
    </row>
    <row r="126" spans="1:8" s="33" customFormat="1" ht="20.100000000000001" customHeight="1">
      <c r="A126" s="460"/>
      <c r="B126" s="416" t="s">
        <v>133</v>
      </c>
      <c r="C126" s="115"/>
      <c r="D126" s="15"/>
      <c r="E126" s="15"/>
      <c r="F126" s="15"/>
      <c r="G126" s="15"/>
      <c r="H126" s="15"/>
    </row>
    <row r="127" spans="1:8" s="33" customFormat="1" ht="20.100000000000001" customHeight="1">
      <c r="A127" s="460"/>
      <c r="B127" s="417"/>
      <c r="C127" s="115"/>
      <c r="D127" s="15"/>
      <c r="E127" s="15"/>
      <c r="F127" s="15"/>
      <c r="G127" s="15"/>
      <c r="H127" s="15"/>
    </row>
    <row r="128" spans="1:8" s="33" customFormat="1" ht="20.100000000000001" customHeight="1">
      <c r="A128" s="460"/>
      <c r="B128" s="416" t="s">
        <v>131</v>
      </c>
      <c r="C128" s="115"/>
      <c r="D128" s="15"/>
      <c r="E128" s="15"/>
      <c r="F128" s="15"/>
      <c r="G128" s="15"/>
      <c r="H128" s="15"/>
    </row>
    <row r="129" spans="1:8" s="33" customFormat="1" ht="20.100000000000001" customHeight="1">
      <c r="A129" s="460"/>
      <c r="B129" s="417"/>
      <c r="C129" s="115"/>
      <c r="D129" s="15"/>
      <c r="E129" s="15"/>
      <c r="F129" s="15"/>
      <c r="G129" s="15"/>
      <c r="H129" s="15"/>
    </row>
    <row r="130" spans="1:8" s="33" customFormat="1" ht="20.100000000000001" customHeight="1">
      <c r="A130" s="460"/>
      <c r="B130" s="416" t="s">
        <v>132</v>
      </c>
      <c r="C130" s="115"/>
      <c r="D130" s="15"/>
      <c r="E130" s="15"/>
      <c r="F130" s="15"/>
      <c r="G130" s="15"/>
      <c r="H130" s="15"/>
    </row>
    <row r="131" spans="1:8" s="33" customFormat="1" ht="20.100000000000001" customHeight="1">
      <c r="A131" s="460"/>
      <c r="B131" s="417"/>
      <c r="C131" s="115"/>
      <c r="D131" s="15"/>
      <c r="E131" s="15"/>
      <c r="F131" s="15"/>
      <c r="G131" s="15"/>
      <c r="H131" s="15"/>
    </row>
    <row r="132" spans="1:8" s="33" customFormat="1" ht="20.100000000000001" customHeight="1">
      <c r="A132" s="460"/>
      <c r="B132" s="416" t="s">
        <v>134</v>
      </c>
      <c r="C132" s="115"/>
      <c r="D132" s="15"/>
      <c r="E132" s="15"/>
      <c r="F132" s="15"/>
      <c r="G132" s="15"/>
      <c r="H132" s="15"/>
    </row>
    <row r="133" spans="1:8" s="33" customFormat="1" ht="20.100000000000001" customHeight="1">
      <c r="A133" s="460"/>
      <c r="B133" s="417"/>
      <c r="C133" s="115"/>
      <c r="D133" s="15"/>
      <c r="E133" s="15"/>
      <c r="F133" s="15"/>
      <c r="G133" s="15"/>
      <c r="H133" s="15"/>
    </row>
    <row r="134" spans="1:8" s="33" customFormat="1" ht="20.100000000000001" customHeight="1">
      <c r="A134" s="460"/>
      <c r="B134" s="416" t="s">
        <v>135</v>
      </c>
      <c r="C134" s="115"/>
      <c r="D134" s="15"/>
      <c r="E134" s="15"/>
      <c r="F134" s="15"/>
      <c r="G134" s="15"/>
      <c r="H134" s="15"/>
    </row>
    <row r="135" spans="1:8" s="33" customFormat="1" ht="20.100000000000001" customHeight="1">
      <c r="A135" s="460"/>
      <c r="B135" s="417"/>
      <c r="C135" s="115"/>
      <c r="D135" s="15"/>
      <c r="E135" s="15"/>
      <c r="F135" s="15"/>
      <c r="G135" s="15"/>
      <c r="H135" s="15"/>
    </row>
    <row r="136" spans="1:8" s="33" customFormat="1" ht="20.100000000000001" customHeight="1">
      <c r="A136" s="460"/>
      <c r="B136" s="416" t="s">
        <v>230</v>
      </c>
      <c r="C136" s="115"/>
      <c r="D136" s="15"/>
      <c r="E136" s="15"/>
      <c r="F136" s="15"/>
      <c r="G136" s="15"/>
      <c r="H136" s="15"/>
    </row>
    <row r="137" spans="1:8" s="33" customFormat="1" ht="20.100000000000001" customHeight="1">
      <c r="A137" s="460"/>
      <c r="B137" s="417"/>
      <c r="C137" s="115"/>
      <c r="D137" s="15"/>
      <c r="E137" s="15"/>
      <c r="F137" s="15"/>
      <c r="G137" s="15"/>
      <c r="H137" s="15"/>
    </row>
    <row r="138" spans="1:8" s="33" customFormat="1" ht="20.100000000000001" customHeight="1">
      <c r="A138" s="460"/>
      <c r="B138" s="416" t="s">
        <v>231</v>
      </c>
      <c r="C138" s="115"/>
      <c r="D138" s="15"/>
      <c r="E138" s="15"/>
      <c r="F138" s="15"/>
      <c r="G138" s="15"/>
      <c r="H138" s="15"/>
    </row>
    <row r="139" spans="1:8" s="33" customFormat="1" ht="20.100000000000001" customHeight="1">
      <c r="A139" s="460"/>
      <c r="B139" s="417"/>
      <c r="C139" s="115"/>
      <c r="D139" s="15"/>
      <c r="E139" s="15"/>
      <c r="F139" s="15"/>
      <c r="G139" s="15"/>
      <c r="H139" s="15"/>
    </row>
    <row r="140" spans="1:8" s="33" customFormat="1" ht="20.100000000000001" customHeight="1">
      <c r="A140" s="460"/>
      <c r="B140" s="416" t="s">
        <v>236</v>
      </c>
      <c r="C140" s="115"/>
      <c r="D140" s="15"/>
      <c r="E140" s="15"/>
      <c r="F140" s="15"/>
      <c r="G140" s="15"/>
      <c r="H140" s="15"/>
    </row>
    <row r="141" spans="1:8" s="33" customFormat="1" ht="20.100000000000001" customHeight="1">
      <c r="A141" s="460"/>
      <c r="B141" s="417"/>
      <c r="C141" s="115"/>
      <c r="D141" s="15"/>
      <c r="E141" s="15"/>
      <c r="F141" s="15"/>
      <c r="G141" s="15"/>
      <c r="H141" s="15"/>
    </row>
    <row r="142" spans="1:8" s="33" customFormat="1" ht="20.100000000000001" customHeight="1">
      <c r="A142" s="460"/>
      <c r="B142" s="416" t="s">
        <v>143</v>
      </c>
      <c r="C142" s="115"/>
      <c r="D142" s="15"/>
      <c r="E142" s="15"/>
      <c r="F142" s="15"/>
      <c r="G142" s="15"/>
      <c r="H142" s="15"/>
    </row>
    <row r="143" spans="1:8" s="33" customFormat="1" ht="20.100000000000001" customHeight="1">
      <c r="A143" s="460"/>
      <c r="B143" s="417"/>
      <c r="C143" s="115"/>
      <c r="D143" s="15"/>
      <c r="E143" s="15"/>
      <c r="F143" s="15"/>
      <c r="G143" s="15"/>
      <c r="H143" s="15"/>
    </row>
    <row r="144" spans="1:8" s="33" customFormat="1" ht="20.100000000000001" customHeight="1">
      <c r="A144" s="460"/>
      <c r="B144" s="416" t="s">
        <v>263</v>
      </c>
      <c r="C144" s="115"/>
      <c r="D144" s="15"/>
      <c r="E144" s="15"/>
      <c r="F144" s="15"/>
      <c r="G144" s="15"/>
      <c r="H144" s="15"/>
    </row>
    <row r="145" spans="1:8" s="33" customFormat="1" ht="20.100000000000001" customHeight="1">
      <c r="A145" s="460"/>
      <c r="B145" s="417"/>
      <c r="C145" s="115"/>
      <c r="D145" s="15"/>
      <c r="E145" s="15"/>
      <c r="F145" s="15"/>
      <c r="G145" s="15"/>
      <c r="H145" s="15"/>
    </row>
    <row r="146" spans="1:8" s="33" customFormat="1" ht="20.100000000000001" customHeight="1">
      <c r="A146" s="460"/>
      <c r="B146" s="418" t="s">
        <v>56</v>
      </c>
      <c r="C146" s="73" t="e">
        <f>SUM(#REF!)</f>
        <v>#REF!</v>
      </c>
      <c r="D146" s="15"/>
      <c r="E146" s="15"/>
      <c r="F146" s="15"/>
      <c r="G146" s="15"/>
      <c r="H146" s="15"/>
    </row>
    <row r="147" spans="1:8" s="33" customFormat="1" ht="20.100000000000001" customHeight="1">
      <c r="A147" s="460"/>
      <c r="B147" s="420"/>
      <c r="C147" s="115" t="e">
        <f>C146/C51</f>
        <v>#REF!</v>
      </c>
      <c r="D147" s="15"/>
      <c r="E147" s="15"/>
      <c r="F147" s="15"/>
      <c r="G147" s="15"/>
      <c r="H147" s="15"/>
    </row>
    <row r="148" spans="1:8" s="33" customFormat="1" ht="20.100000000000001" customHeight="1">
      <c r="A148" s="460"/>
      <c r="B148" s="422" t="s">
        <v>136</v>
      </c>
      <c r="C148" s="115"/>
      <c r="D148" s="15"/>
      <c r="E148" s="15"/>
      <c r="F148" s="15"/>
      <c r="G148" s="15"/>
      <c r="H148" s="15"/>
    </row>
    <row r="149" spans="1:8" s="33" customFormat="1" ht="20.100000000000001" customHeight="1">
      <c r="A149" s="461"/>
      <c r="B149" s="424"/>
      <c r="C149" s="115"/>
      <c r="D149" s="15"/>
      <c r="E149" s="15"/>
      <c r="F149" s="15"/>
      <c r="G149" s="15"/>
      <c r="H149" s="15"/>
    </row>
    <row r="150" spans="1:8" s="33" customFormat="1" ht="20.100000000000001" customHeight="1">
      <c r="A150" s="108"/>
      <c r="B150" s="422" t="s">
        <v>137</v>
      </c>
      <c r="C150" s="115"/>
      <c r="D150" s="15"/>
      <c r="E150" s="15"/>
      <c r="F150" s="15"/>
      <c r="G150" s="15"/>
      <c r="H150" s="15"/>
    </row>
    <row r="151" spans="1:8" s="33" customFormat="1" ht="20.100000000000001" customHeight="1">
      <c r="A151" s="108"/>
      <c r="B151" s="424"/>
      <c r="C151" s="115"/>
      <c r="D151" s="15"/>
      <c r="E151" s="15"/>
      <c r="F151" s="15"/>
      <c r="G151" s="15"/>
      <c r="H151" s="15"/>
    </row>
    <row r="152" spans="1:8" s="33" customFormat="1" ht="20.100000000000001" customHeight="1">
      <c r="A152" s="476" t="s">
        <v>57</v>
      </c>
      <c r="B152" s="363" t="s">
        <v>58</v>
      </c>
      <c r="C152" s="75" t="e">
        <f>SUM(#REF!)</f>
        <v>#REF!</v>
      </c>
      <c r="D152" s="23" t="e">
        <f>#REF!+#REF!</f>
        <v>#REF!</v>
      </c>
      <c r="E152" s="23" t="e">
        <f>D152+144000</f>
        <v>#REF!</v>
      </c>
      <c r="F152" s="15"/>
      <c r="G152" s="15"/>
      <c r="H152" s="15"/>
    </row>
    <row r="153" spans="1:8" s="33" customFormat="1" ht="20.100000000000001" customHeight="1">
      <c r="A153" s="476"/>
      <c r="B153" s="363" t="s">
        <v>59</v>
      </c>
      <c r="C153" s="115" t="e">
        <f>C152/C65</f>
        <v>#REF!</v>
      </c>
      <c r="D153" s="15"/>
      <c r="E153" s="15"/>
      <c r="F153" s="15"/>
      <c r="G153" s="15"/>
      <c r="H153" s="15"/>
    </row>
    <row r="154" spans="1:8" s="33" customFormat="1" ht="20.100000000000001" customHeight="1">
      <c r="A154" s="215"/>
      <c r="B154" s="217" t="s">
        <v>227</v>
      </c>
      <c r="C154" s="292" t="e">
        <f>SUM(#REF!)</f>
        <v>#REF!</v>
      </c>
      <c r="D154" s="15"/>
      <c r="E154" s="15"/>
      <c r="F154" s="15"/>
      <c r="G154" s="15"/>
      <c r="H154" s="15"/>
    </row>
    <row r="155" spans="1:8" s="33" customFormat="1" ht="20.100000000000001" customHeight="1">
      <c r="A155" s="215"/>
      <c r="B155" s="217" t="s">
        <v>228</v>
      </c>
      <c r="C155" s="115" t="e">
        <f t="shared" ref="C155" si="6">C154/C65</f>
        <v>#REF!</v>
      </c>
      <c r="D155" s="15"/>
      <c r="E155" s="15"/>
      <c r="F155" s="15"/>
      <c r="G155" s="15"/>
      <c r="H155" s="15"/>
    </row>
    <row r="156" spans="1:8" s="33" customFormat="1" ht="15" customHeight="1">
      <c r="A156" s="477" t="s">
        <v>60</v>
      </c>
      <c r="B156" s="478"/>
      <c r="C156" s="383"/>
      <c r="D156" s="15"/>
      <c r="E156" s="15"/>
      <c r="F156" s="15"/>
      <c r="G156" s="15"/>
      <c r="H156" s="15"/>
    </row>
    <row r="157" spans="1:8" s="33" customFormat="1" ht="15" customHeight="1">
      <c r="A157" s="414"/>
      <c r="B157" s="415"/>
      <c r="C157" s="383"/>
      <c r="D157" s="15"/>
      <c r="E157" s="15"/>
      <c r="F157" s="15"/>
      <c r="G157" s="15"/>
      <c r="H157" s="15"/>
    </row>
    <row r="158" spans="1:8" s="33" customFormat="1" ht="19.5" customHeight="1">
      <c r="A158" s="410" t="s">
        <v>61</v>
      </c>
      <c r="B158" s="411"/>
      <c r="C158" s="75"/>
      <c r="D158" s="15"/>
      <c r="E158" s="15"/>
      <c r="F158" s="15"/>
      <c r="G158" s="15"/>
      <c r="H158" s="15"/>
    </row>
    <row r="159" spans="1:8" s="33" customFormat="1" ht="14.25">
      <c r="A159" s="396" t="s">
        <v>62</v>
      </c>
      <c r="B159" s="390" t="s">
        <v>63</v>
      </c>
      <c r="C159" s="389"/>
      <c r="D159" s="23"/>
      <c r="E159" s="15"/>
      <c r="F159" s="15"/>
      <c r="G159" s="15"/>
      <c r="H159" s="15"/>
    </row>
    <row r="160" spans="1:8" s="33" customFormat="1" ht="14.25">
      <c r="A160" s="390"/>
      <c r="B160" s="390"/>
      <c r="C160" s="389"/>
      <c r="D160" s="15"/>
      <c r="E160" s="15"/>
      <c r="F160" s="15"/>
      <c r="G160" s="15"/>
      <c r="H160" s="15"/>
    </row>
    <row r="161" spans="1:8" s="33" customFormat="1" ht="14.25">
      <c r="A161" s="390"/>
      <c r="B161" s="390" t="s">
        <v>64</v>
      </c>
      <c r="C161" s="389"/>
      <c r="D161" s="23" t="e">
        <f>#REF!+#REF!+#REF!</f>
        <v>#REF!</v>
      </c>
      <c r="E161" s="15"/>
      <c r="F161" s="15"/>
      <c r="G161" s="15"/>
      <c r="H161" s="15"/>
    </row>
    <row r="162" spans="1:8" s="33" customFormat="1" ht="14.25">
      <c r="A162" s="390"/>
      <c r="B162" s="390"/>
      <c r="C162" s="389"/>
      <c r="D162" s="15"/>
      <c r="E162" s="15"/>
      <c r="F162" s="15"/>
      <c r="G162" s="15"/>
      <c r="H162" s="15"/>
    </row>
    <row r="163" spans="1:8" s="33" customFormat="1" ht="14.25">
      <c r="A163" s="396" t="s">
        <v>65</v>
      </c>
      <c r="B163" s="390" t="s">
        <v>63</v>
      </c>
      <c r="C163" s="389"/>
      <c r="D163" s="15"/>
      <c r="E163" s="15"/>
      <c r="F163" s="15"/>
      <c r="G163" s="15"/>
      <c r="H163" s="15"/>
    </row>
    <row r="164" spans="1:8" s="33" customFormat="1" ht="14.25">
      <c r="A164" s="390"/>
      <c r="B164" s="390"/>
      <c r="C164" s="389"/>
      <c r="D164" s="15"/>
      <c r="E164" s="15"/>
      <c r="F164" s="15"/>
      <c r="G164" s="15"/>
      <c r="H164" s="15"/>
    </row>
    <row r="165" spans="1:8" s="33" customFormat="1" ht="14.25">
      <c r="A165" s="390"/>
      <c r="B165" s="390" t="s">
        <v>64</v>
      </c>
      <c r="C165" s="389"/>
      <c r="D165" s="15"/>
      <c r="E165" s="15"/>
      <c r="F165" s="15"/>
      <c r="G165" s="15"/>
      <c r="H165" s="15"/>
    </row>
    <row r="166" spans="1:8" s="33" customFormat="1" ht="14.25">
      <c r="A166" s="390"/>
      <c r="B166" s="390"/>
      <c r="C166" s="389"/>
      <c r="D166" s="15"/>
      <c r="E166" s="15"/>
      <c r="F166" s="15"/>
      <c r="G166" s="15"/>
      <c r="H166" s="15"/>
    </row>
    <row r="167" spans="1:8" s="33" customFormat="1" ht="14.25">
      <c r="A167" s="396" t="s">
        <v>66</v>
      </c>
      <c r="B167" s="390" t="s">
        <v>63</v>
      </c>
      <c r="C167" s="389"/>
      <c r="D167" s="15"/>
      <c r="E167" s="15"/>
      <c r="F167" s="15"/>
      <c r="G167" s="15"/>
      <c r="H167" s="15"/>
    </row>
    <row r="168" spans="1:8" s="33" customFormat="1" ht="14.25">
      <c r="A168" s="390"/>
      <c r="B168" s="390"/>
      <c r="C168" s="389"/>
      <c r="D168" s="15"/>
      <c r="E168" s="15"/>
      <c r="F168" s="15"/>
      <c r="G168" s="15"/>
      <c r="H168" s="15"/>
    </row>
    <row r="169" spans="1:8" s="33" customFormat="1" ht="14.25">
      <c r="A169" s="390"/>
      <c r="B169" s="390" t="s">
        <v>64</v>
      </c>
      <c r="C169" s="389"/>
      <c r="D169" s="15"/>
      <c r="E169" s="15"/>
      <c r="F169" s="15"/>
      <c r="G169" s="15"/>
      <c r="H169" s="15"/>
    </row>
    <row r="170" spans="1:8" s="33" customFormat="1" ht="14.25">
      <c r="A170" s="390"/>
      <c r="B170" s="390"/>
      <c r="C170" s="389"/>
      <c r="D170" s="15"/>
      <c r="E170" s="15"/>
      <c r="F170" s="15"/>
      <c r="G170" s="15"/>
      <c r="H170" s="15"/>
    </row>
    <row r="171" spans="1:8" s="33" customFormat="1" ht="13.5" customHeight="1">
      <c r="A171" s="396" t="s">
        <v>67</v>
      </c>
      <c r="B171" s="390" t="s">
        <v>63</v>
      </c>
      <c r="C171" s="389"/>
      <c r="D171" s="15"/>
      <c r="E171" s="15"/>
      <c r="F171" s="15"/>
      <c r="G171" s="15"/>
      <c r="H171" s="15"/>
    </row>
    <row r="172" spans="1:8" s="33" customFormat="1" ht="13.5" customHeight="1">
      <c r="A172" s="390"/>
      <c r="B172" s="390"/>
      <c r="C172" s="389"/>
      <c r="D172" s="15"/>
      <c r="E172" s="15"/>
      <c r="F172" s="15"/>
      <c r="G172" s="15"/>
      <c r="H172" s="15"/>
    </row>
    <row r="173" spans="1:8" s="33" customFormat="1" ht="13.5" customHeight="1">
      <c r="A173" s="390"/>
      <c r="B173" s="390" t="s">
        <v>64</v>
      </c>
      <c r="C173" s="389"/>
      <c r="D173" s="15"/>
      <c r="E173" s="15"/>
      <c r="F173" s="15"/>
      <c r="G173" s="15"/>
      <c r="H173" s="15"/>
    </row>
    <row r="174" spans="1:8" s="33" customFormat="1" ht="13.5" customHeight="1">
      <c r="A174" s="390"/>
      <c r="B174" s="390"/>
      <c r="C174" s="389"/>
      <c r="D174" s="15"/>
      <c r="E174" s="15"/>
      <c r="F174" s="15"/>
      <c r="G174" s="15"/>
      <c r="H174" s="15"/>
    </row>
    <row r="175" spans="1:8" s="33" customFormat="1" ht="13.5" customHeight="1">
      <c r="A175" s="396" t="s">
        <v>68</v>
      </c>
      <c r="B175" s="390" t="s">
        <v>63</v>
      </c>
      <c r="C175" s="389"/>
      <c r="D175" s="15"/>
      <c r="E175" s="15"/>
      <c r="F175" s="15"/>
      <c r="G175" s="15"/>
      <c r="H175" s="15"/>
    </row>
    <row r="176" spans="1:8" s="33" customFormat="1" ht="13.5" customHeight="1">
      <c r="A176" s="390"/>
      <c r="B176" s="390"/>
      <c r="C176" s="389"/>
      <c r="D176" s="15"/>
      <c r="E176" s="15"/>
      <c r="F176" s="15"/>
      <c r="G176" s="15"/>
      <c r="H176" s="15"/>
    </row>
    <row r="177" spans="1:8" s="33" customFormat="1" ht="13.5" customHeight="1">
      <c r="A177" s="390"/>
      <c r="B177" s="390" t="s">
        <v>64</v>
      </c>
      <c r="C177" s="389"/>
      <c r="D177" s="15"/>
      <c r="E177" s="15"/>
      <c r="F177" s="15"/>
      <c r="G177" s="15"/>
      <c r="H177" s="15"/>
    </row>
    <row r="178" spans="1:8" s="33" customFormat="1" ht="13.5" customHeight="1">
      <c r="A178" s="390"/>
      <c r="B178" s="390"/>
      <c r="C178" s="389"/>
      <c r="D178" s="15"/>
      <c r="E178" s="15"/>
      <c r="F178" s="15"/>
      <c r="G178" s="15"/>
      <c r="H178" s="15"/>
    </row>
    <row r="179" spans="1:8" s="33" customFormat="1" ht="13.5" hidden="1" customHeight="1">
      <c r="A179" s="396" t="s">
        <v>69</v>
      </c>
      <c r="B179" s="390" t="s">
        <v>63</v>
      </c>
      <c r="C179" s="389"/>
      <c r="D179" s="15"/>
      <c r="E179" s="15"/>
      <c r="F179" s="15"/>
      <c r="G179" s="15"/>
      <c r="H179" s="15"/>
    </row>
    <row r="180" spans="1:8" s="33" customFormat="1" ht="13.5" hidden="1" customHeight="1">
      <c r="A180" s="390"/>
      <c r="B180" s="390"/>
      <c r="C180" s="389"/>
      <c r="D180" s="15"/>
      <c r="E180" s="15"/>
      <c r="F180" s="15"/>
      <c r="G180" s="15"/>
      <c r="H180" s="15"/>
    </row>
    <row r="181" spans="1:8" s="33" customFormat="1" ht="13.5" hidden="1" customHeight="1">
      <c r="A181" s="390"/>
      <c r="B181" s="390" t="s">
        <v>64</v>
      </c>
      <c r="C181" s="389"/>
      <c r="D181" s="15"/>
      <c r="E181" s="15"/>
      <c r="F181" s="15"/>
      <c r="G181" s="15"/>
      <c r="H181" s="15"/>
    </row>
    <row r="182" spans="1:8" s="33" customFormat="1" ht="13.5" hidden="1" customHeight="1">
      <c r="A182" s="390"/>
      <c r="B182" s="390"/>
      <c r="C182" s="389"/>
      <c r="D182" s="15"/>
      <c r="E182" s="15"/>
      <c r="F182" s="15"/>
      <c r="G182" s="15"/>
      <c r="H182" s="15"/>
    </row>
    <row r="183" spans="1:8" s="33" customFormat="1" ht="13.5" hidden="1" customHeight="1">
      <c r="A183" s="396" t="s">
        <v>69</v>
      </c>
      <c r="B183" s="390" t="s">
        <v>63</v>
      </c>
      <c r="C183" s="389"/>
      <c r="D183" s="15"/>
      <c r="E183" s="15"/>
      <c r="F183" s="15"/>
      <c r="G183" s="15"/>
      <c r="H183" s="15"/>
    </row>
    <row r="184" spans="1:8" s="33" customFormat="1" ht="13.5" hidden="1" customHeight="1">
      <c r="A184" s="390"/>
      <c r="B184" s="390"/>
      <c r="C184" s="389"/>
      <c r="D184" s="15"/>
      <c r="E184" s="15"/>
      <c r="F184" s="15"/>
      <c r="G184" s="15"/>
      <c r="H184" s="15"/>
    </row>
    <row r="185" spans="1:8" s="33" customFormat="1" ht="13.5" hidden="1" customHeight="1">
      <c r="A185" s="390"/>
      <c r="B185" s="390" t="s">
        <v>64</v>
      </c>
      <c r="C185" s="389"/>
      <c r="D185" s="15"/>
      <c r="E185" s="15"/>
      <c r="F185" s="15"/>
      <c r="G185" s="15"/>
      <c r="H185" s="15"/>
    </row>
    <row r="186" spans="1:8" s="33" customFormat="1" ht="13.5" hidden="1" customHeight="1">
      <c r="A186" s="390"/>
      <c r="B186" s="390"/>
      <c r="C186" s="389"/>
      <c r="D186" s="15"/>
      <c r="E186" s="15"/>
      <c r="F186" s="15"/>
      <c r="G186" s="15"/>
      <c r="H186" s="15"/>
    </row>
    <row r="187" spans="1:8" s="33" customFormat="1" ht="13.5" hidden="1" customHeight="1">
      <c r="A187" s="396" t="s">
        <v>70</v>
      </c>
      <c r="B187" s="390" t="s">
        <v>63</v>
      </c>
      <c r="C187" s="389"/>
      <c r="D187" s="15"/>
      <c r="E187" s="15"/>
      <c r="F187" s="15"/>
      <c r="G187" s="15"/>
      <c r="H187" s="15"/>
    </row>
    <row r="188" spans="1:8" s="33" customFormat="1" ht="13.5" hidden="1" customHeight="1">
      <c r="A188" s="390"/>
      <c r="B188" s="390"/>
      <c r="C188" s="389"/>
      <c r="D188" s="15"/>
      <c r="E188" s="15"/>
      <c r="F188" s="15"/>
      <c r="G188" s="15"/>
      <c r="H188" s="15"/>
    </row>
    <row r="189" spans="1:8" s="33" customFormat="1" ht="13.5" hidden="1" customHeight="1">
      <c r="A189" s="390"/>
      <c r="B189" s="390" t="s">
        <v>64</v>
      </c>
      <c r="C189" s="389"/>
      <c r="D189" s="15"/>
      <c r="E189" s="15"/>
      <c r="F189" s="15"/>
      <c r="G189" s="15"/>
      <c r="H189" s="15"/>
    </row>
    <row r="190" spans="1:8" s="33" customFormat="1" ht="13.5" hidden="1" customHeight="1">
      <c r="A190" s="390"/>
      <c r="B190" s="390"/>
      <c r="C190" s="389"/>
      <c r="D190" s="15"/>
      <c r="E190" s="15"/>
      <c r="F190" s="15"/>
      <c r="G190" s="15"/>
      <c r="H190" s="15"/>
    </row>
    <row r="191" spans="1:8" s="33" customFormat="1" ht="13.5" hidden="1" customHeight="1">
      <c r="A191" s="396" t="s">
        <v>71</v>
      </c>
      <c r="B191" s="390" t="s">
        <v>63</v>
      </c>
      <c r="C191" s="389"/>
      <c r="D191" s="15"/>
      <c r="E191" s="15"/>
      <c r="F191" s="15"/>
      <c r="G191" s="15"/>
      <c r="H191" s="15"/>
    </row>
    <row r="192" spans="1:8" s="33" customFormat="1" ht="13.5" hidden="1" customHeight="1">
      <c r="A192" s="390"/>
      <c r="B192" s="390"/>
      <c r="C192" s="389"/>
      <c r="D192" s="15"/>
      <c r="E192" s="15"/>
      <c r="F192" s="15"/>
      <c r="G192" s="15"/>
      <c r="H192" s="15"/>
    </row>
    <row r="193" spans="1:8" s="33" customFormat="1" ht="13.5" hidden="1" customHeight="1">
      <c r="A193" s="390"/>
      <c r="B193" s="390" t="s">
        <v>64</v>
      </c>
      <c r="C193" s="389"/>
      <c r="D193" s="15"/>
      <c r="E193" s="15"/>
      <c r="F193" s="15"/>
      <c r="G193" s="15"/>
      <c r="H193" s="15"/>
    </row>
    <row r="194" spans="1:8" s="33" customFormat="1" ht="13.5" hidden="1" customHeight="1">
      <c r="A194" s="390"/>
      <c r="B194" s="390"/>
      <c r="C194" s="389"/>
      <c r="D194" s="15"/>
      <c r="E194" s="15"/>
      <c r="F194" s="15"/>
      <c r="G194" s="15"/>
      <c r="H194" s="15"/>
    </row>
    <row r="195" spans="1:8" s="33" customFormat="1" ht="14.25">
      <c r="A195" s="392" t="s">
        <v>60</v>
      </c>
      <c r="B195" s="393"/>
      <c r="C195" s="383"/>
      <c r="D195" s="15"/>
      <c r="E195" s="15"/>
      <c r="F195" s="15"/>
      <c r="G195" s="15"/>
      <c r="H195" s="15"/>
    </row>
    <row r="196" spans="1:8" s="33" customFormat="1" ht="14.25">
      <c r="A196" s="394"/>
      <c r="B196" s="395"/>
      <c r="C196" s="384"/>
      <c r="D196" s="15"/>
      <c r="E196" s="15"/>
      <c r="F196" s="15"/>
      <c r="G196" s="15"/>
      <c r="H196" s="15"/>
    </row>
    <row r="197" spans="1:8" s="33" customFormat="1" ht="14.25">
      <c r="A197" s="373" t="s">
        <v>60</v>
      </c>
      <c r="B197" s="374"/>
      <c r="C197" s="377"/>
      <c r="D197" s="15"/>
      <c r="E197" s="15"/>
      <c r="F197" s="15"/>
      <c r="G197" s="15"/>
      <c r="H197" s="15"/>
    </row>
    <row r="198" spans="1:8" s="33" customFormat="1" ht="14.25">
      <c r="A198" s="375"/>
      <c r="B198" s="376"/>
      <c r="C198" s="378"/>
      <c r="D198" s="15"/>
      <c r="E198" s="15"/>
      <c r="F198" s="15"/>
      <c r="G198" s="15"/>
      <c r="H198" s="15"/>
    </row>
    <row r="199" spans="1:8" s="33" customFormat="1" ht="18" customHeight="1">
      <c r="A199" s="373" t="s">
        <v>72</v>
      </c>
      <c r="B199" s="374"/>
      <c r="C199" s="378"/>
      <c r="D199" s="15"/>
      <c r="E199" s="15"/>
      <c r="F199" s="15"/>
      <c r="G199" s="15"/>
      <c r="H199" s="15"/>
    </row>
    <row r="200" spans="1:8" s="33" customFormat="1" ht="15" thickBot="1">
      <c r="A200" s="375"/>
      <c r="B200" s="376"/>
      <c r="C200" s="475"/>
      <c r="D200" s="15"/>
      <c r="E200" s="15"/>
      <c r="F200" s="15"/>
      <c r="G200" s="15"/>
      <c r="H200" s="15"/>
    </row>
    <row r="201" spans="1:8" s="15" customFormat="1" ht="14.25">
      <c r="C201" s="299"/>
    </row>
    <row r="202" spans="1:8" s="33" customFormat="1" ht="15.75" customHeight="1">
      <c r="A202" s="15"/>
      <c r="B202" s="15"/>
      <c r="C202" s="299"/>
      <c r="D202" s="15"/>
      <c r="E202" s="15"/>
      <c r="F202" s="15"/>
      <c r="G202" s="15"/>
      <c r="H202" s="15"/>
    </row>
    <row r="203" spans="1:8" ht="27.75" customHeight="1"/>
  </sheetData>
  <mergeCells count="102">
    <mergeCell ref="A16:A64"/>
    <mergeCell ref="A65:B65"/>
    <mergeCell ref="A66:B67"/>
    <mergeCell ref="A68:A69"/>
    <mergeCell ref="A3:A15"/>
    <mergeCell ref="B88:B89"/>
    <mergeCell ref="B90:B91"/>
    <mergeCell ref="B92:B93"/>
    <mergeCell ref="B94:B95"/>
    <mergeCell ref="B96:B97"/>
    <mergeCell ref="B98:B99"/>
    <mergeCell ref="A70:A14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C161:C162"/>
    <mergeCell ref="C159:C160"/>
    <mergeCell ref="B161:B162"/>
    <mergeCell ref="A158:B158"/>
    <mergeCell ref="A159:A162"/>
    <mergeCell ref="B159:B160"/>
    <mergeCell ref="C156:C157"/>
    <mergeCell ref="B148:B149"/>
    <mergeCell ref="B150:B151"/>
    <mergeCell ref="A152:A153"/>
    <mergeCell ref="A156:B157"/>
    <mergeCell ref="C169:C170"/>
    <mergeCell ref="C167:C168"/>
    <mergeCell ref="B169:B170"/>
    <mergeCell ref="C165:C166"/>
    <mergeCell ref="A167:A170"/>
    <mergeCell ref="B167:B168"/>
    <mergeCell ref="C163:C164"/>
    <mergeCell ref="B165:B166"/>
    <mergeCell ref="A163:A166"/>
    <mergeCell ref="B163:B164"/>
    <mergeCell ref="C175:C176"/>
    <mergeCell ref="B177:B178"/>
    <mergeCell ref="C173:C174"/>
    <mergeCell ref="A175:A178"/>
    <mergeCell ref="B175:B176"/>
    <mergeCell ref="C171:C172"/>
    <mergeCell ref="B173:B174"/>
    <mergeCell ref="A171:A174"/>
    <mergeCell ref="B171:B172"/>
    <mergeCell ref="C183:C184"/>
    <mergeCell ref="C181:C182"/>
    <mergeCell ref="A183:A186"/>
    <mergeCell ref="B183:B184"/>
    <mergeCell ref="C179:C180"/>
    <mergeCell ref="B181:B182"/>
    <mergeCell ref="A179:A182"/>
    <mergeCell ref="B179:B180"/>
    <mergeCell ref="C177:C178"/>
    <mergeCell ref="C189:C190"/>
    <mergeCell ref="A191:A194"/>
    <mergeCell ref="B191:B192"/>
    <mergeCell ref="C187:C188"/>
    <mergeCell ref="B189:B190"/>
    <mergeCell ref="A187:A190"/>
    <mergeCell ref="B187:B188"/>
    <mergeCell ref="C185:C186"/>
    <mergeCell ref="B185:B186"/>
    <mergeCell ref="C195:C196"/>
    <mergeCell ref="A197:B198"/>
    <mergeCell ref="C197:C198"/>
    <mergeCell ref="A199:B200"/>
    <mergeCell ref="C199:C200"/>
    <mergeCell ref="C193:C194"/>
    <mergeCell ref="A195:B196"/>
    <mergeCell ref="B193:B194"/>
    <mergeCell ref="C191:C192"/>
  </mergeCells>
  <phoneticPr fontId="28"/>
  <pageMargins left="0" right="0" top="0" bottom="0" header="0" footer="0"/>
  <pageSetup paperSize="9" scale="36" orientation="portrait" r:id="rId1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6E06-6ECF-4B8C-B399-856F879B3246}">
  <sheetPr>
    <tabColor rgb="FFFF0066"/>
  </sheetPr>
  <dimension ref="A1:AL295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B11" sqref="B11:B12"/>
    </sheetView>
  </sheetViews>
  <sheetFormatPr defaultColWidth="9" defaultRowHeight="13.5"/>
  <cols>
    <col min="1" max="1" width="9" customWidth="1"/>
    <col min="2" max="2" width="25" customWidth="1"/>
    <col min="3" max="3" width="15.375" customWidth="1"/>
    <col min="4" max="19" width="15.625" style="302" customWidth="1"/>
    <col min="20" max="21" width="15.375" style="302" customWidth="1"/>
    <col min="22" max="32" width="15.625" style="302" customWidth="1"/>
    <col min="33" max="33" width="15.375" style="302" customWidth="1"/>
    <col min="34" max="34" width="12.875" customWidth="1"/>
    <col min="35" max="36" width="10.625" bestFit="1" customWidth="1"/>
    <col min="37" max="37" width="11.125" bestFit="1" customWidth="1"/>
    <col min="38" max="38" width="15" bestFit="1" customWidth="1"/>
  </cols>
  <sheetData>
    <row r="1" spans="1:34" ht="36" customHeight="1">
      <c r="A1" s="1" t="s">
        <v>0</v>
      </c>
      <c r="C1" s="112" t="s">
        <v>247</v>
      </c>
      <c r="D1" s="231"/>
      <c r="E1" s="232" t="s">
        <v>249</v>
      </c>
      <c r="F1" s="232" t="s">
        <v>249</v>
      </c>
      <c r="G1" s="232" t="s">
        <v>249</v>
      </c>
      <c r="H1" s="232" t="s">
        <v>250</v>
      </c>
      <c r="I1" s="233"/>
      <c r="J1" s="233" t="s">
        <v>253</v>
      </c>
      <c r="K1" s="232" t="s">
        <v>252</v>
      </c>
      <c r="L1" s="233" t="s">
        <v>256</v>
      </c>
      <c r="M1" s="233" t="s">
        <v>257</v>
      </c>
      <c r="N1" s="233" t="s">
        <v>258</v>
      </c>
      <c r="O1" s="315" t="s">
        <v>257</v>
      </c>
      <c r="P1" s="315" t="s">
        <v>259</v>
      </c>
      <c r="Q1" s="315" t="s">
        <v>252</v>
      </c>
      <c r="R1" s="315" t="s">
        <v>285</v>
      </c>
      <c r="S1" s="315" t="s">
        <v>249</v>
      </c>
      <c r="T1" s="232" t="s">
        <v>264</v>
      </c>
      <c r="U1" s="232" t="s">
        <v>286</v>
      </c>
      <c r="V1" s="233" t="s">
        <v>287</v>
      </c>
      <c r="W1" s="349" t="s">
        <v>288</v>
      </c>
      <c r="X1" s="233" t="s">
        <v>289</v>
      </c>
      <c r="Y1" s="233" t="s">
        <v>290</v>
      </c>
      <c r="Z1" s="233" t="s">
        <v>292</v>
      </c>
      <c r="AA1" s="233" t="s">
        <v>293</v>
      </c>
      <c r="AB1" s="233" t="s">
        <v>294</v>
      </c>
      <c r="AC1" s="233" t="s">
        <v>287</v>
      </c>
      <c r="AD1" s="232" t="s">
        <v>300</v>
      </c>
      <c r="AE1" s="232" t="s">
        <v>304</v>
      </c>
      <c r="AF1" s="232" t="s">
        <v>305</v>
      </c>
      <c r="AG1" s="234"/>
      <c r="AH1" s="2"/>
    </row>
    <row r="2" spans="1:34" s="15" customFormat="1" ht="20.100000000000001" customHeight="1">
      <c r="A2" s="37"/>
      <c r="B2" s="204" t="s">
        <v>1</v>
      </c>
      <c r="C2" s="66"/>
      <c r="D2" s="235">
        <v>45512</v>
      </c>
      <c r="E2" s="235">
        <v>45513</v>
      </c>
      <c r="F2" s="235">
        <v>45537</v>
      </c>
      <c r="G2" s="235">
        <v>45565</v>
      </c>
      <c r="H2" s="235">
        <v>45559</v>
      </c>
      <c r="I2" s="235">
        <v>45576</v>
      </c>
      <c r="J2" s="235">
        <v>45582</v>
      </c>
      <c r="K2" s="235">
        <v>45595</v>
      </c>
      <c r="L2" s="236">
        <v>45595</v>
      </c>
      <c r="M2" s="235">
        <v>45602</v>
      </c>
      <c r="N2" s="235">
        <v>45607</v>
      </c>
      <c r="O2" s="235">
        <v>45625</v>
      </c>
      <c r="P2" s="237">
        <v>45634</v>
      </c>
      <c r="Q2" s="237">
        <v>45646</v>
      </c>
      <c r="R2" s="237">
        <v>45652</v>
      </c>
      <c r="S2" s="235">
        <v>45681</v>
      </c>
      <c r="T2" s="238">
        <v>45722</v>
      </c>
      <c r="U2" s="238">
        <v>45744</v>
      </c>
      <c r="V2" s="235">
        <v>45751</v>
      </c>
      <c r="W2" s="235">
        <v>45748</v>
      </c>
      <c r="X2" s="235">
        <v>45749</v>
      </c>
      <c r="Y2" s="235">
        <v>45789</v>
      </c>
      <c r="Z2" s="236">
        <v>45786</v>
      </c>
      <c r="AA2" s="235">
        <v>45786</v>
      </c>
      <c r="AB2" s="235">
        <v>45803</v>
      </c>
      <c r="AC2" s="235">
        <v>45807</v>
      </c>
      <c r="AD2" s="237">
        <v>45815</v>
      </c>
      <c r="AE2" s="235">
        <v>45827</v>
      </c>
      <c r="AF2" s="235">
        <v>45827</v>
      </c>
      <c r="AG2" s="239" t="s">
        <v>2</v>
      </c>
    </row>
    <row r="3" spans="1:34" s="15" customFormat="1" ht="20.100000000000001" customHeight="1">
      <c r="A3" s="473" t="s">
        <v>3</v>
      </c>
      <c r="B3" s="474" t="s">
        <v>4</v>
      </c>
      <c r="C3" s="98" t="s">
        <v>5</v>
      </c>
      <c r="D3" s="240"/>
      <c r="E3" s="241"/>
      <c r="F3" s="241"/>
      <c r="G3" s="241"/>
      <c r="H3" s="241"/>
      <c r="I3" s="241"/>
      <c r="J3" s="241"/>
      <c r="K3" s="241"/>
      <c r="L3" s="241"/>
      <c r="M3" s="242"/>
      <c r="N3" s="242"/>
      <c r="O3" s="242"/>
      <c r="P3" s="242"/>
      <c r="Q3" s="241"/>
      <c r="R3" s="241">
        <v>172260</v>
      </c>
      <c r="S3" s="241"/>
      <c r="T3" s="241"/>
      <c r="U3" s="241"/>
      <c r="V3" s="241"/>
      <c r="W3" s="241"/>
      <c r="X3" s="241"/>
      <c r="Y3" s="241"/>
      <c r="Z3" s="243"/>
      <c r="AA3" s="241"/>
      <c r="AB3" s="241"/>
      <c r="AC3" s="241"/>
      <c r="AD3" s="240"/>
      <c r="AE3" s="241"/>
      <c r="AF3" s="241"/>
      <c r="AG3" s="244">
        <f t="shared" ref="AG3:AG34" si="0">SUM(D3:AF3)</f>
        <v>172260</v>
      </c>
    </row>
    <row r="4" spans="1:34" s="15" customFormat="1" ht="20.100000000000001" customHeight="1">
      <c r="A4" s="473"/>
      <c r="B4" s="474"/>
      <c r="C4" s="98" t="s">
        <v>6</v>
      </c>
      <c r="D4" s="117">
        <f>D3*1.1</f>
        <v>0</v>
      </c>
      <c r="E4" s="73">
        <f>E3*1.1</f>
        <v>0</v>
      </c>
      <c r="F4" s="73">
        <f>F3*1.1</f>
        <v>0</v>
      </c>
      <c r="G4" s="73">
        <f>G3*1.1</f>
        <v>0</v>
      </c>
      <c r="H4" s="73">
        <f>H3*1.1</f>
        <v>0</v>
      </c>
      <c r="I4" s="73"/>
      <c r="J4" s="73"/>
      <c r="K4" s="73">
        <f>K3*1.1</f>
        <v>0</v>
      </c>
      <c r="L4" s="73">
        <f>L3*1.1</f>
        <v>0</v>
      </c>
      <c r="M4" s="73">
        <f>M3*1.1</f>
        <v>0</v>
      </c>
      <c r="N4" s="73"/>
      <c r="O4" s="73">
        <f>O3*1.1</f>
        <v>0</v>
      </c>
      <c r="P4" s="73">
        <f>P3*1.1</f>
        <v>0</v>
      </c>
      <c r="Q4" s="73">
        <f>Q3*1.1</f>
        <v>0</v>
      </c>
      <c r="R4" s="73">
        <f>R3*1.1</f>
        <v>189486.00000000003</v>
      </c>
      <c r="S4" s="73">
        <f>S3*1.1</f>
        <v>0</v>
      </c>
      <c r="T4" s="73"/>
      <c r="U4" s="73"/>
      <c r="V4" s="73">
        <f t="shared" ref="V4:AE4" si="1">V3*1.1</f>
        <v>0</v>
      </c>
      <c r="W4" s="73">
        <f t="shared" si="1"/>
        <v>0</v>
      </c>
      <c r="X4" s="73"/>
      <c r="Y4" s="73"/>
      <c r="Z4" s="245"/>
      <c r="AA4" s="73">
        <f t="shared" si="1"/>
        <v>0</v>
      </c>
      <c r="AB4" s="73"/>
      <c r="AC4" s="73"/>
      <c r="AD4" s="117">
        <f t="shared" si="1"/>
        <v>0</v>
      </c>
      <c r="AE4" s="73">
        <f t="shared" si="1"/>
        <v>0</v>
      </c>
      <c r="AF4" s="73"/>
      <c r="AG4" s="244">
        <f t="shared" si="0"/>
        <v>189486.00000000003</v>
      </c>
    </row>
    <row r="5" spans="1:34" s="15" customFormat="1" ht="24.95" customHeight="1">
      <c r="A5" s="473"/>
      <c r="B5" s="442" t="s">
        <v>7</v>
      </c>
      <c r="C5" s="98" t="s">
        <v>5</v>
      </c>
      <c r="D5" s="246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>
        <f>R3/0.95</f>
        <v>181326.31578947368</v>
      </c>
      <c r="S5" s="247"/>
      <c r="T5" s="247"/>
      <c r="U5" s="247"/>
      <c r="V5" s="247"/>
      <c r="W5" s="247"/>
      <c r="X5" s="247"/>
      <c r="Y5" s="247"/>
      <c r="Z5" s="247"/>
      <c r="AA5" s="248"/>
      <c r="AB5" s="248"/>
      <c r="AC5" s="247"/>
      <c r="AD5" s="247"/>
      <c r="AE5" s="247"/>
      <c r="AF5" s="247"/>
      <c r="AG5" s="244">
        <f t="shared" si="0"/>
        <v>181326.31578947368</v>
      </c>
    </row>
    <row r="6" spans="1:34" s="15" customFormat="1" ht="20.100000000000001" customHeight="1">
      <c r="A6" s="473"/>
      <c r="B6" s="442"/>
      <c r="C6" s="98" t="s">
        <v>6</v>
      </c>
      <c r="D6" s="117">
        <f t="shared" ref="D6:K6" si="2">D5*1.1</f>
        <v>0</v>
      </c>
      <c r="E6" s="73">
        <f t="shared" si="2"/>
        <v>0</v>
      </c>
      <c r="F6" s="73">
        <f t="shared" si="2"/>
        <v>0</v>
      </c>
      <c r="G6" s="73">
        <f t="shared" si="2"/>
        <v>0</v>
      </c>
      <c r="H6" s="73">
        <f t="shared" si="2"/>
        <v>0</v>
      </c>
      <c r="I6" s="73"/>
      <c r="J6" s="73"/>
      <c r="K6" s="73">
        <f t="shared" si="2"/>
        <v>0</v>
      </c>
      <c r="L6" s="73">
        <f>L5*1.1</f>
        <v>0</v>
      </c>
      <c r="M6" s="73">
        <f>M5*1.1</f>
        <v>0</v>
      </c>
      <c r="N6" s="73"/>
      <c r="O6" s="73">
        <f>O5*1.1</f>
        <v>0</v>
      </c>
      <c r="P6" s="73">
        <f>P5*1.1</f>
        <v>0</v>
      </c>
      <c r="Q6" s="73">
        <f>Q5*1.1</f>
        <v>0</v>
      </c>
      <c r="R6" s="73">
        <f>R5*1.1</f>
        <v>199458.94736842107</v>
      </c>
      <c r="S6" s="73">
        <f>S5*1.1</f>
        <v>0</v>
      </c>
      <c r="T6" s="73"/>
      <c r="U6" s="73"/>
      <c r="V6" s="73">
        <f>V5*1.1</f>
        <v>0</v>
      </c>
      <c r="W6" s="73">
        <f>W5*1.1</f>
        <v>0</v>
      </c>
      <c r="X6" s="73"/>
      <c r="Y6" s="73"/>
      <c r="Z6" s="73">
        <f>Z5*1.1</f>
        <v>0</v>
      </c>
      <c r="AA6" s="73">
        <f>AA5*1.1</f>
        <v>0</v>
      </c>
      <c r="AB6" s="73"/>
      <c r="AC6" s="73"/>
      <c r="AD6" s="73">
        <f>AD5*1.1</f>
        <v>0</v>
      </c>
      <c r="AE6" s="73">
        <f>AE5*1.1</f>
        <v>0</v>
      </c>
      <c r="AF6" s="73"/>
      <c r="AG6" s="244">
        <f t="shared" si="0"/>
        <v>199458.94736842107</v>
      </c>
    </row>
    <row r="7" spans="1:34" s="15" customFormat="1" ht="20.100000000000001" customHeight="1">
      <c r="A7" s="473"/>
      <c r="B7" s="442" t="s">
        <v>8</v>
      </c>
      <c r="C7" s="92" t="s">
        <v>5</v>
      </c>
      <c r="D7" s="249">
        <v>1321332</v>
      </c>
      <c r="E7" s="74">
        <v>15180</v>
      </c>
      <c r="F7" s="74"/>
      <c r="G7" s="74">
        <v>31200</v>
      </c>
      <c r="H7" s="74">
        <v>160215</v>
      </c>
      <c r="I7" s="74">
        <v>1386042</v>
      </c>
      <c r="J7" s="74"/>
      <c r="K7" s="74"/>
      <c r="L7" s="74"/>
      <c r="M7" s="74">
        <v>22350</v>
      </c>
      <c r="N7" s="74">
        <v>87120</v>
      </c>
      <c r="O7" s="74"/>
      <c r="P7" s="74"/>
      <c r="Q7" s="74">
        <f>3960+600</f>
        <v>4560</v>
      </c>
      <c r="R7" s="74">
        <v>1520800</v>
      </c>
      <c r="S7" s="74"/>
      <c r="T7" s="74">
        <v>670610</v>
      </c>
      <c r="U7" s="74"/>
      <c r="V7" s="74">
        <v>603240</v>
      </c>
      <c r="W7" s="74"/>
      <c r="X7" s="74"/>
      <c r="Y7" s="74"/>
      <c r="Z7" s="74">
        <v>35640</v>
      </c>
      <c r="AA7" s="74"/>
      <c r="AB7" s="74"/>
      <c r="AC7" s="74">
        <f>1015260-23760</f>
        <v>991500</v>
      </c>
      <c r="AD7" s="74"/>
      <c r="AE7" s="74"/>
      <c r="AF7" s="74"/>
      <c r="AG7" s="244">
        <f t="shared" si="0"/>
        <v>6849789</v>
      </c>
      <c r="AH7" s="34"/>
    </row>
    <row r="8" spans="1:34" s="15" customFormat="1" ht="18.75" customHeight="1">
      <c r="A8" s="473"/>
      <c r="B8" s="442"/>
      <c r="C8" s="92" t="s">
        <v>6</v>
      </c>
      <c r="D8" s="117">
        <f>D7*1.1</f>
        <v>1453465.2000000002</v>
      </c>
      <c r="E8" s="73">
        <f>E7*1.1</f>
        <v>16698</v>
      </c>
      <c r="F8" s="73">
        <f>F7*1.1</f>
        <v>0</v>
      </c>
      <c r="G8" s="306">
        <f>G7*1.1</f>
        <v>34320</v>
      </c>
      <c r="H8" s="306">
        <f t="shared" ref="H8:AE8" si="3">H7*1.1</f>
        <v>176236.5</v>
      </c>
      <c r="I8" s="73">
        <f>I7*1.1</f>
        <v>1524646.2000000002</v>
      </c>
      <c r="J8" s="73"/>
      <c r="K8" s="73">
        <f t="shared" si="3"/>
        <v>0</v>
      </c>
      <c r="L8" s="73">
        <f t="shared" si="3"/>
        <v>0</v>
      </c>
      <c r="M8" s="73">
        <f t="shared" si="3"/>
        <v>24585.000000000004</v>
      </c>
      <c r="N8" s="73">
        <f t="shared" si="3"/>
        <v>95832.000000000015</v>
      </c>
      <c r="O8" s="73">
        <f t="shared" si="3"/>
        <v>0</v>
      </c>
      <c r="P8" s="73">
        <f t="shared" si="3"/>
        <v>0</v>
      </c>
      <c r="Q8" s="73">
        <f t="shared" si="3"/>
        <v>5016</v>
      </c>
      <c r="R8" s="73">
        <f t="shared" si="3"/>
        <v>1672880.0000000002</v>
      </c>
      <c r="S8" s="73">
        <f t="shared" ref="S8:Y8" si="4">S7*1.1</f>
        <v>0</v>
      </c>
      <c r="T8" s="73">
        <f t="shared" si="4"/>
        <v>737671.00000000012</v>
      </c>
      <c r="U8" s="73"/>
      <c r="V8" s="73">
        <f t="shared" si="4"/>
        <v>663564</v>
      </c>
      <c r="W8" s="73">
        <f t="shared" si="4"/>
        <v>0</v>
      </c>
      <c r="X8" s="73">
        <f t="shared" si="4"/>
        <v>0</v>
      </c>
      <c r="Y8" s="73">
        <f t="shared" si="4"/>
        <v>0</v>
      </c>
      <c r="Z8" s="73">
        <f t="shared" si="3"/>
        <v>39204</v>
      </c>
      <c r="AA8" s="73">
        <f t="shared" si="3"/>
        <v>0</v>
      </c>
      <c r="AB8" s="73"/>
      <c r="AC8" s="73">
        <f>AC7*1.1</f>
        <v>1090650</v>
      </c>
      <c r="AD8" s="73">
        <f t="shared" si="3"/>
        <v>0</v>
      </c>
      <c r="AE8" s="73">
        <f t="shared" si="3"/>
        <v>0</v>
      </c>
      <c r="AF8" s="73"/>
      <c r="AG8" s="244">
        <f t="shared" si="0"/>
        <v>7534767.9000000004</v>
      </c>
    </row>
    <row r="9" spans="1:34" s="15" customFormat="1" ht="20.100000000000001" customHeight="1">
      <c r="A9" s="473"/>
      <c r="B9" s="474" t="s">
        <v>9</v>
      </c>
      <c r="C9" s="98" t="s">
        <v>5</v>
      </c>
      <c r="D9" s="249">
        <v>325140</v>
      </c>
      <c r="E9" s="74">
        <v>22485</v>
      </c>
      <c r="F9" s="74"/>
      <c r="G9" s="74">
        <v>57815</v>
      </c>
      <c r="H9" s="74"/>
      <c r="I9" s="74">
        <v>221400</v>
      </c>
      <c r="J9" s="74">
        <v>58100</v>
      </c>
      <c r="K9" s="74"/>
      <c r="L9" s="74"/>
      <c r="M9" s="74"/>
      <c r="N9" s="74"/>
      <c r="O9" s="74"/>
      <c r="P9" s="74">
        <v>30975</v>
      </c>
      <c r="Q9" s="74"/>
      <c r="R9" s="74">
        <v>267600</v>
      </c>
      <c r="S9" s="74">
        <v>3500</v>
      </c>
      <c r="T9" s="74">
        <v>798000</v>
      </c>
      <c r="U9" s="74"/>
      <c r="V9" s="74"/>
      <c r="W9" s="74"/>
      <c r="X9" s="74"/>
      <c r="Y9" s="74"/>
      <c r="Z9" s="74"/>
      <c r="AA9" s="74">
        <v>3850</v>
      </c>
      <c r="AB9" s="74">
        <v>35530</v>
      </c>
      <c r="AC9" s="74">
        <v>153000</v>
      </c>
      <c r="AD9" s="74"/>
      <c r="AE9" s="74"/>
      <c r="AF9" s="74">
        <v>40600</v>
      </c>
      <c r="AG9" s="244">
        <f t="shared" si="0"/>
        <v>2017995</v>
      </c>
      <c r="AH9" s="34"/>
    </row>
    <row r="10" spans="1:34" s="15" customFormat="1" ht="20.100000000000001" customHeight="1">
      <c r="A10" s="473"/>
      <c r="B10" s="474"/>
      <c r="C10" s="98" t="s">
        <v>6</v>
      </c>
      <c r="D10" s="117">
        <f>D9*1.1</f>
        <v>357654</v>
      </c>
      <c r="E10" s="117">
        <f t="shared" ref="E10:W10" si="5">E9*1.1</f>
        <v>24733.500000000004</v>
      </c>
      <c r="F10" s="117">
        <f t="shared" si="5"/>
        <v>0</v>
      </c>
      <c r="G10" s="117">
        <f t="shared" si="5"/>
        <v>63596.500000000007</v>
      </c>
      <c r="H10" s="117">
        <f t="shared" si="5"/>
        <v>0</v>
      </c>
      <c r="I10" s="117">
        <f t="shared" si="5"/>
        <v>243540.00000000003</v>
      </c>
      <c r="J10" s="117">
        <f t="shared" si="5"/>
        <v>63910.000000000007</v>
      </c>
      <c r="K10" s="117">
        <f t="shared" si="5"/>
        <v>0</v>
      </c>
      <c r="L10" s="117">
        <f t="shared" si="5"/>
        <v>0</v>
      </c>
      <c r="M10" s="117">
        <f t="shared" si="5"/>
        <v>0</v>
      </c>
      <c r="N10" s="117"/>
      <c r="O10" s="117">
        <f t="shared" si="5"/>
        <v>0</v>
      </c>
      <c r="P10" s="117">
        <f t="shared" si="5"/>
        <v>34072.5</v>
      </c>
      <c r="Q10" s="117">
        <f t="shared" si="5"/>
        <v>0</v>
      </c>
      <c r="R10" s="117">
        <f t="shared" si="5"/>
        <v>294360</v>
      </c>
      <c r="S10" s="117">
        <f t="shared" si="5"/>
        <v>3850.0000000000005</v>
      </c>
      <c r="T10" s="117">
        <f t="shared" si="5"/>
        <v>877800.00000000012</v>
      </c>
      <c r="U10" s="117"/>
      <c r="V10" s="117">
        <f t="shared" si="5"/>
        <v>0</v>
      </c>
      <c r="W10" s="117">
        <f t="shared" si="5"/>
        <v>0</v>
      </c>
      <c r="X10" s="117"/>
      <c r="Y10" s="117"/>
      <c r="Z10" s="73">
        <f t="shared" ref="Z10:AF10" si="6">Z9*1.1</f>
        <v>0</v>
      </c>
      <c r="AA10" s="73">
        <f t="shared" si="6"/>
        <v>4235</v>
      </c>
      <c r="AB10" s="73">
        <f t="shared" si="6"/>
        <v>39083</v>
      </c>
      <c r="AC10" s="73">
        <f t="shared" si="6"/>
        <v>168300</v>
      </c>
      <c r="AD10" s="73">
        <f t="shared" si="6"/>
        <v>0</v>
      </c>
      <c r="AE10" s="73">
        <f t="shared" si="6"/>
        <v>0</v>
      </c>
      <c r="AF10" s="73">
        <f t="shared" si="6"/>
        <v>44660</v>
      </c>
      <c r="AG10" s="244">
        <f t="shared" si="0"/>
        <v>2219794.5</v>
      </c>
    </row>
    <row r="11" spans="1:34" s="15" customFormat="1" ht="20.100000000000001" customHeight="1">
      <c r="A11" s="473"/>
      <c r="B11" s="442" t="s">
        <v>10</v>
      </c>
      <c r="C11" s="98" t="s">
        <v>5</v>
      </c>
      <c r="D11" s="249">
        <f t="shared" ref="D11:J11" si="7">D9/0.95</f>
        <v>342252.63157894736</v>
      </c>
      <c r="E11" s="249">
        <f t="shared" si="7"/>
        <v>23668.42105263158</v>
      </c>
      <c r="F11" s="249">
        <f t="shared" si="7"/>
        <v>0</v>
      </c>
      <c r="G11" s="249">
        <f t="shared" si="7"/>
        <v>60857.894736842107</v>
      </c>
      <c r="H11" s="74">
        <f t="shared" si="7"/>
        <v>0</v>
      </c>
      <c r="I11" s="74">
        <f t="shared" si="7"/>
        <v>233052.63157894739</v>
      </c>
      <c r="J11" s="74">
        <f t="shared" si="7"/>
        <v>61157.894736842107</v>
      </c>
      <c r="K11" s="74"/>
      <c r="L11" s="74"/>
      <c r="M11" s="74"/>
      <c r="N11" s="74"/>
      <c r="O11" s="74"/>
      <c r="P11" s="74">
        <f>P9/0.95</f>
        <v>32605.263157894737</v>
      </c>
      <c r="Q11" s="74">
        <f>Q9/0.95</f>
        <v>0</v>
      </c>
      <c r="R11" s="74">
        <f>R9/0.95</f>
        <v>281684.21052631579</v>
      </c>
      <c r="S11" s="74">
        <f>S9/0.95</f>
        <v>3684.2105263157896</v>
      </c>
      <c r="T11" s="74">
        <f>T9/0.95</f>
        <v>840000</v>
      </c>
      <c r="U11" s="74"/>
      <c r="V11" s="74"/>
      <c r="W11" s="74"/>
      <c r="X11" s="74"/>
      <c r="Y11" s="74"/>
      <c r="Z11" s="74"/>
      <c r="AA11" s="74">
        <f>AA9/0.95</f>
        <v>4052.6315789473688</v>
      </c>
      <c r="AB11" s="74">
        <f>AB9/0.95</f>
        <v>37400</v>
      </c>
      <c r="AC11" s="74">
        <f>AC9/0.95</f>
        <v>161052.63157894739</v>
      </c>
      <c r="AD11" s="74"/>
      <c r="AE11" s="74"/>
      <c r="AF11" s="74">
        <f>AF9/0.95</f>
        <v>42736.84210526316</v>
      </c>
      <c r="AG11" s="244">
        <f t="shared" si="0"/>
        <v>2124205.2631578953</v>
      </c>
    </row>
    <row r="12" spans="1:34" s="15" customFormat="1" ht="20.100000000000001" customHeight="1">
      <c r="A12" s="473"/>
      <c r="B12" s="442"/>
      <c r="C12" s="98" t="s">
        <v>6</v>
      </c>
      <c r="D12" s="250">
        <f>D11*1.1</f>
        <v>376477.89473684214</v>
      </c>
      <c r="E12" s="250">
        <f>E11*1.1</f>
        <v>26035.26315789474</v>
      </c>
      <c r="F12" s="75">
        <f t="shared" ref="F12:R12" si="8">F11*1.1</f>
        <v>0</v>
      </c>
      <c r="G12" s="307">
        <f t="shared" si="8"/>
        <v>66943.68421052632</v>
      </c>
      <c r="H12" s="75">
        <f>H11*1.1</f>
        <v>0</v>
      </c>
      <c r="I12" s="75">
        <f>I11*1.1</f>
        <v>256357.89473684214</v>
      </c>
      <c r="J12" s="75">
        <f>J11*1.1</f>
        <v>67273.68421052632</v>
      </c>
      <c r="K12" s="75">
        <f t="shared" si="8"/>
        <v>0</v>
      </c>
      <c r="L12" s="75">
        <f t="shared" si="8"/>
        <v>0</v>
      </c>
      <c r="M12" s="75">
        <f t="shared" si="8"/>
        <v>0</v>
      </c>
      <c r="N12" s="75"/>
      <c r="O12" s="75">
        <f t="shared" si="8"/>
        <v>0</v>
      </c>
      <c r="P12" s="75">
        <f t="shared" si="8"/>
        <v>35865.789473684214</v>
      </c>
      <c r="Q12" s="75">
        <f t="shared" si="8"/>
        <v>0</v>
      </c>
      <c r="R12" s="75">
        <f t="shared" si="8"/>
        <v>309852.63157894742</v>
      </c>
      <c r="S12" s="75">
        <f t="shared" ref="S12:AF12" si="9">S11*1.1</f>
        <v>4052.6315789473688</v>
      </c>
      <c r="T12" s="75">
        <f t="shared" si="9"/>
        <v>924000.00000000012</v>
      </c>
      <c r="U12" s="75"/>
      <c r="V12" s="75">
        <f t="shared" si="9"/>
        <v>0</v>
      </c>
      <c r="W12" s="75">
        <f t="shared" si="9"/>
        <v>0</v>
      </c>
      <c r="X12" s="75"/>
      <c r="Y12" s="75"/>
      <c r="Z12" s="75">
        <f t="shared" si="9"/>
        <v>0</v>
      </c>
      <c r="AA12" s="75">
        <f t="shared" si="9"/>
        <v>4457.8947368421059</v>
      </c>
      <c r="AB12" s="75">
        <f t="shared" si="9"/>
        <v>41140</v>
      </c>
      <c r="AC12" s="75">
        <f t="shared" si="9"/>
        <v>177157.89473684214</v>
      </c>
      <c r="AD12" s="75">
        <f t="shared" si="9"/>
        <v>0</v>
      </c>
      <c r="AE12" s="75">
        <f t="shared" si="9"/>
        <v>0</v>
      </c>
      <c r="AF12" s="75">
        <f t="shared" si="9"/>
        <v>47010.526315789481</v>
      </c>
      <c r="AG12" s="244">
        <f t="shared" si="0"/>
        <v>2336625.7894736845</v>
      </c>
    </row>
    <row r="13" spans="1:34" s="15" customFormat="1" ht="20.100000000000001" customHeight="1">
      <c r="A13" s="473"/>
      <c r="B13" s="442" t="s">
        <v>11</v>
      </c>
      <c r="C13" s="98" t="s">
        <v>5</v>
      </c>
      <c r="D13" s="250">
        <v>509160</v>
      </c>
      <c r="E13" s="75"/>
      <c r="F13" s="75">
        <v>0</v>
      </c>
      <c r="G13" s="307">
        <f>3410+770</f>
        <v>4180</v>
      </c>
      <c r="H13" s="75"/>
      <c r="I13" s="307">
        <v>704844</v>
      </c>
      <c r="J13" s="75"/>
      <c r="K13" s="75"/>
      <c r="L13" s="75"/>
      <c r="M13" s="75"/>
      <c r="N13" s="75"/>
      <c r="O13" s="75"/>
      <c r="P13" s="75"/>
      <c r="Q13" s="75">
        <v>9300</v>
      </c>
      <c r="R13" s="75">
        <f>453144+328224</f>
        <v>781368</v>
      </c>
      <c r="S13" s="75"/>
      <c r="T13" s="75">
        <v>1361784</v>
      </c>
      <c r="U13" s="75"/>
      <c r="V13" s="75">
        <v>472056</v>
      </c>
      <c r="W13" s="75"/>
      <c r="X13" s="75"/>
      <c r="Y13" s="75"/>
      <c r="Z13" s="75"/>
      <c r="AA13" s="75"/>
      <c r="AB13" s="75"/>
      <c r="AC13" s="75">
        <v>1415904</v>
      </c>
      <c r="AD13" s="75"/>
      <c r="AE13" s="75"/>
      <c r="AF13" s="75"/>
      <c r="AG13" s="244">
        <f t="shared" si="0"/>
        <v>5258596</v>
      </c>
    </row>
    <row r="14" spans="1:34" s="15" customFormat="1" ht="20.100000000000001" customHeight="1">
      <c r="A14" s="473"/>
      <c r="B14" s="442"/>
      <c r="C14" s="98" t="s">
        <v>6</v>
      </c>
      <c r="D14" s="250">
        <f>D13*1.1</f>
        <v>560076</v>
      </c>
      <c r="E14" s="75"/>
      <c r="F14" s="75">
        <f>F13*1.1</f>
        <v>0</v>
      </c>
      <c r="G14" s="307">
        <f t="shared" ref="G14:AF14" si="10">G13*1.1</f>
        <v>4598</v>
      </c>
      <c r="H14" s="75">
        <f t="shared" si="10"/>
        <v>0</v>
      </c>
      <c r="I14" s="307">
        <f t="shared" si="10"/>
        <v>775328.4</v>
      </c>
      <c r="J14" s="75">
        <f t="shared" si="10"/>
        <v>0</v>
      </c>
      <c r="K14" s="75">
        <f t="shared" si="10"/>
        <v>0</v>
      </c>
      <c r="L14" s="75">
        <f t="shared" si="10"/>
        <v>0</v>
      </c>
      <c r="M14" s="75">
        <f t="shared" si="10"/>
        <v>0</v>
      </c>
      <c r="N14" s="75"/>
      <c r="O14" s="75">
        <f t="shared" si="10"/>
        <v>0</v>
      </c>
      <c r="P14" s="75">
        <f t="shared" si="10"/>
        <v>0</v>
      </c>
      <c r="Q14" s="75">
        <f t="shared" si="10"/>
        <v>10230</v>
      </c>
      <c r="R14" s="75">
        <f t="shared" si="10"/>
        <v>859504.8</v>
      </c>
      <c r="S14" s="75">
        <f t="shared" si="10"/>
        <v>0</v>
      </c>
      <c r="T14" s="75">
        <f t="shared" si="10"/>
        <v>1497962.4000000001</v>
      </c>
      <c r="U14" s="75"/>
      <c r="V14" s="307">
        <f t="shared" si="10"/>
        <v>519261.60000000003</v>
      </c>
      <c r="W14" s="75">
        <f t="shared" si="10"/>
        <v>0</v>
      </c>
      <c r="X14" s="75"/>
      <c r="Y14" s="75"/>
      <c r="Z14" s="75">
        <f t="shared" si="10"/>
        <v>0</v>
      </c>
      <c r="AA14" s="75">
        <f t="shared" si="10"/>
        <v>0</v>
      </c>
      <c r="AB14" s="75"/>
      <c r="AC14" s="75">
        <f t="shared" si="10"/>
        <v>1557494.4000000001</v>
      </c>
      <c r="AD14" s="75">
        <f t="shared" si="10"/>
        <v>0</v>
      </c>
      <c r="AE14" s="75">
        <f t="shared" si="10"/>
        <v>0</v>
      </c>
      <c r="AF14" s="75">
        <f t="shared" si="10"/>
        <v>0</v>
      </c>
      <c r="AG14" s="244">
        <f t="shared" si="0"/>
        <v>5784455.6000000006</v>
      </c>
    </row>
    <row r="15" spans="1:34" s="15" customFormat="1" ht="20.100000000000001" customHeight="1">
      <c r="A15" s="473"/>
      <c r="B15" s="442" t="s">
        <v>12</v>
      </c>
      <c r="C15" s="92" t="s">
        <v>5</v>
      </c>
      <c r="D15" s="117">
        <v>704904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>
        <f>770760+117720</f>
        <v>888480</v>
      </c>
      <c r="S15" s="73"/>
      <c r="T15" s="73">
        <v>454764</v>
      </c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244">
        <f t="shared" si="0"/>
        <v>2048148</v>
      </c>
    </row>
    <row r="16" spans="1:34" s="15" customFormat="1" ht="20.100000000000001" customHeight="1">
      <c r="A16" s="473"/>
      <c r="B16" s="442"/>
      <c r="C16" s="92" t="s">
        <v>6</v>
      </c>
      <c r="D16" s="117">
        <f>D15*1.1</f>
        <v>775394.4</v>
      </c>
      <c r="E16" s="73">
        <f t="shared" ref="E16:T16" si="11">E15*1.1</f>
        <v>0</v>
      </c>
      <c r="F16" s="73">
        <f t="shared" si="11"/>
        <v>0</v>
      </c>
      <c r="G16" s="73">
        <f t="shared" si="11"/>
        <v>0</v>
      </c>
      <c r="H16" s="73">
        <f t="shared" si="11"/>
        <v>0</v>
      </c>
      <c r="I16" s="73"/>
      <c r="J16" s="73"/>
      <c r="K16" s="73">
        <f t="shared" si="11"/>
        <v>0</v>
      </c>
      <c r="L16" s="73">
        <f t="shared" si="11"/>
        <v>0</v>
      </c>
      <c r="M16" s="73">
        <f t="shared" si="11"/>
        <v>0</v>
      </c>
      <c r="N16" s="73">
        <f t="shared" si="11"/>
        <v>0</v>
      </c>
      <c r="O16" s="73">
        <f t="shared" si="11"/>
        <v>0</v>
      </c>
      <c r="P16" s="73">
        <f t="shared" si="11"/>
        <v>0</v>
      </c>
      <c r="Q16" s="73">
        <f t="shared" si="11"/>
        <v>0</v>
      </c>
      <c r="R16" s="73">
        <f t="shared" si="11"/>
        <v>977328.00000000012</v>
      </c>
      <c r="S16" s="73">
        <f t="shared" si="11"/>
        <v>0</v>
      </c>
      <c r="T16" s="73">
        <f t="shared" si="11"/>
        <v>500240.4</v>
      </c>
      <c r="U16" s="73"/>
      <c r="V16" s="73"/>
      <c r="W16" s="73">
        <f>W15*1.1</f>
        <v>0</v>
      </c>
      <c r="X16" s="73"/>
      <c r="Y16" s="73"/>
      <c r="Z16" s="73"/>
      <c r="AA16" s="73">
        <f>AA15*1.1</f>
        <v>0</v>
      </c>
      <c r="AB16" s="73"/>
      <c r="AC16" s="73"/>
      <c r="AD16" s="73">
        <f>AD15*1.1</f>
        <v>0</v>
      </c>
      <c r="AE16" s="73"/>
      <c r="AF16" s="73"/>
      <c r="AG16" s="244">
        <f t="shared" si="0"/>
        <v>2252962.8000000003</v>
      </c>
    </row>
    <row r="17" spans="1:34" s="15" customFormat="1" ht="20.100000000000001" customHeight="1">
      <c r="A17" s="473"/>
      <c r="B17" s="472" t="s">
        <v>13</v>
      </c>
      <c r="C17" s="92" t="s">
        <v>5</v>
      </c>
      <c r="D17" s="117">
        <v>52360</v>
      </c>
      <c r="E17" s="118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>
        <v>72000</v>
      </c>
      <c r="U17" s="73"/>
      <c r="V17" s="73"/>
      <c r="W17" s="73"/>
      <c r="X17" s="73"/>
      <c r="Y17" s="73">
        <v>181056</v>
      </c>
      <c r="Z17" s="73"/>
      <c r="AA17" s="73"/>
      <c r="AB17" s="73"/>
      <c r="AC17" s="73"/>
      <c r="AD17" s="73"/>
      <c r="AE17" s="73"/>
      <c r="AF17" s="73"/>
      <c r="AG17" s="244">
        <f t="shared" si="0"/>
        <v>305416</v>
      </c>
    </row>
    <row r="18" spans="1:34" s="15" customFormat="1" ht="20.100000000000001" customHeight="1">
      <c r="A18" s="473"/>
      <c r="B18" s="472"/>
      <c r="C18" s="92" t="s">
        <v>6</v>
      </c>
      <c r="D18" s="117">
        <f>D17*1.1</f>
        <v>57596.000000000007</v>
      </c>
      <c r="E18" s="73">
        <f>E17*1.1</f>
        <v>0</v>
      </c>
      <c r="F18" s="73">
        <f>F17*1.1</f>
        <v>0</v>
      </c>
      <c r="G18" s="73">
        <f t="shared" ref="G18:W18" si="12">G17*1.1</f>
        <v>0</v>
      </c>
      <c r="H18" s="73"/>
      <c r="I18" s="73"/>
      <c r="J18" s="73"/>
      <c r="K18" s="73">
        <f t="shared" si="12"/>
        <v>0</v>
      </c>
      <c r="L18" s="73">
        <f t="shared" si="12"/>
        <v>0</v>
      </c>
      <c r="M18" s="73">
        <f t="shared" si="12"/>
        <v>0</v>
      </c>
      <c r="N18" s="73"/>
      <c r="O18" s="73">
        <f t="shared" si="12"/>
        <v>0</v>
      </c>
      <c r="P18" s="73">
        <f t="shared" si="12"/>
        <v>0</v>
      </c>
      <c r="Q18" s="73">
        <f t="shared" si="12"/>
        <v>0</v>
      </c>
      <c r="R18" s="73"/>
      <c r="S18" s="73">
        <f t="shared" si="12"/>
        <v>0</v>
      </c>
      <c r="T18" s="73">
        <f t="shared" si="12"/>
        <v>79200</v>
      </c>
      <c r="U18" s="73"/>
      <c r="V18" s="73">
        <f t="shared" si="12"/>
        <v>0</v>
      </c>
      <c r="W18" s="73">
        <f t="shared" si="12"/>
        <v>0</v>
      </c>
      <c r="X18" s="73"/>
      <c r="Y18" s="73">
        <f>Y17*1.1</f>
        <v>199161.60000000001</v>
      </c>
      <c r="Z18" s="73">
        <f>Z17*1.1</f>
        <v>0</v>
      </c>
      <c r="AA18" s="73">
        <f>AA17*1.1</f>
        <v>0</v>
      </c>
      <c r="AB18" s="73"/>
      <c r="AC18" s="73"/>
      <c r="AD18" s="73">
        <f>AD17*1.1</f>
        <v>0</v>
      </c>
      <c r="AE18" s="73">
        <f>AE17*1.1</f>
        <v>0</v>
      </c>
      <c r="AF18" s="73"/>
      <c r="AG18" s="244">
        <f t="shared" si="0"/>
        <v>335957.6</v>
      </c>
      <c r="AH18" s="23"/>
    </row>
    <row r="19" spans="1:34" s="15" customFormat="1" ht="20.100000000000001" customHeight="1">
      <c r="A19" s="473"/>
      <c r="B19" s="442" t="s">
        <v>14</v>
      </c>
      <c r="C19" s="92" t="s">
        <v>5</v>
      </c>
      <c r="D19" s="117">
        <v>11080</v>
      </c>
      <c r="E19" s="73"/>
      <c r="F19" s="73"/>
      <c r="G19" s="73">
        <v>1320</v>
      </c>
      <c r="H19" s="73"/>
      <c r="I19" s="73">
        <v>39480</v>
      </c>
      <c r="J19" s="73"/>
      <c r="K19" s="73"/>
      <c r="L19" s="73"/>
      <c r="M19" s="73"/>
      <c r="N19" s="73"/>
      <c r="O19" s="73"/>
      <c r="P19" s="73"/>
      <c r="Q19" s="73">
        <f>180+600</f>
        <v>780</v>
      </c>
      <c r="R19" s="73">
        <f>296220+600+600</f>
        <v>297420</v>
      </c>
      <c r="S19" s="73"/>
      <c r="T19" s="73">
        <v>107800</v>
      </c>
      <c r="U19" s="73"/>
      <c r="V19" s="73">
        <f>29700+600</f>
        <v>30300</v>
      </c>
      <c r="W19" s="73"/>
      <c r="X19" s="73"/>
      <c r="Y19" s="73"/>
      <c r="Z19" s="73">
        <f>29023+600</f>
        <v>29623</v>
      </c>
      <c r="AA19" s="73"/>
      <c r="AB19" s="73"/>
      <c r="AC19" s="73">
        <v>78360</v>
      </c>
      <c r="AD19" s="73">
        <v>4200</v>
      </c>
      <c r="AE19" s="73">
        <v>27126</v>
      </c>
      <c r="AF19" s="73"/>
      <c r="AG19" s="244">
        <f t="shared" si="0"/>
        <v>627489</v>
      </c>
    </row>
    <row r="20" spans="1:34" s="15" customFormat="1" ht="20.100000000000001" customHeight="1">
      <c r="A20" s="473"/>
      <c r="B20" s="442"/>
      <c r="C20" s="92" t="s">
        <v>6</v>
      </c>
      <c r="D20" s="117">
        <f t="shared" ref="D20:I20" si="13">D19*1.1</f>
        <v>12188.000000000002</v>
      </c>
      <c r="E20" s="117">
        <f t="shared" si="13"/>
        <v>0</v>
      </c>
      <c r="F20" s="73">
        <f t="shared" si="13"/>
        <v>0</v>
      </c>
      <c r="G20" s="306">
        <f t="shared" si="13"/>
        <v>1452.0000000000002</v>
      </c>
      <c r="H20" s="306">
        <f t="shared" si="13"/>
        <v>0</v>
      </c>
      <c r="I20" s="73">
        <f t="shared" si="13"/>
        <v>43428</v>
      </c>
      <c r="J20" s="73"/>
      <c r="K20" s="73">
        <f t="shared" ref="K20:AE20" si="14">K19*1.1</f>
        <v>0</v>
      </c>
      <c r="L20" s="73">
        <f t="shared" si="14"/>
        <v>0</v>
      </c>
      <c r="M20" s="73">
        <f t="shared" si="14"/>
        <v>0</v>
      </c>
      <c r="N20" s="73"/>
      <c r="O20" s="73">
        <f t="shared" si="14"/>
        <v>0</v>
      </c>
      <c r="P20" s="73">
        <f t="shared" si="14"/>
        <v>0</v>
      </c>
      <c r="Q20" s="73">
        <f t="shared" si="14"/>
        <v>858.00000000000011</v>
      </c>
      <c r="R20" s="73">
        <f t="shared" si="14"/>
        <v>327162</v>
      </c>
      <c r="S20" s="73">
        <f t="shared" si="14"/>
        <v>0</v>
      </c>
      <c r="T20" s="73">
        <f t="shared" si="14"/>
        <v>118580.00000000001</v>
      </c>
      <c r="U20" s="73"/>
      <c r="V20" s="73">
        <f t="shared" si="14"/>
        <v>33330</v>
      </c>
      <c r="W20" s="73">
        <f t="shared" si="14"/>
        <v>0</v>
      </c>
      <c r="X20" s="73"/>
      <c r="Y20" s="73"/>
      <c r="Z20" s="73">
        <f>Z19*1.1</f>
        <v>32585.300000000003</v>
      </c>
      <c r="AA20" s="73">
        <f t="shared" si="14"/>
        <v>0</v>
      </c>
      <c r="AB20" s="73"/>
      <c r="AC20" s="73">
        <f t="shared" si="14"/>
        <v>86196</v>
      </c>
      <c r="AD20" s="73">
        <f t="shared" si="14"/>
        <v>4620</v>
      </c>
      <c r="AE20" s="73">
        <f t="shared" si="14"/>
        <v>29838.600000000002</v>
      </c>
      <c r="AF20" s="73"/>
      <c r="AG20" s="244">
        <f t="shared" si="0"/>
        <v>690237.9</v>
      </c>
    </row>
    <row r="21" spans="1:34" s="15" customFormat="1" ht="20.100000000000001" customHeight="1">
      <c r="A21" s="473"/>
      <c r="B21" s="472" t="s">
        <v>15</v>
      </c>
      <c r="C21" s="92" t="s">
        <v>5</v>
      </c>
      <c r="D21" s="117">
        <v>21456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>
        <v>187602</v>
      </c>
      <c r="S21" s="73"/>
      <c r="T21" s="73"/>
      <c r="U21" s="73"/>
      <c r="V21" s="73"/>
      <c r="W21" s="73"/>
      <c r="X21" s="73"/>
      <c r="Y21" s="73">
        <v>53760</v>
      </c>
      <c r="Z21" s="73"/>
      <c r="AA21" s="73"/>
      <c r="AB21" s="73"/>
      <c r="AC21" s="73"/>
      <c r="AD21" s="73"/>
      <c r="AE21" s="73"/>
      <c r="AF21" s="73"/>
      <c r="AG21" s="244">
        <f t="shared" si="0"/>
        <v>262818</v>
      </c>
    </row>
    <row r="22" spans="1:34" s="15" customFormat="1" ht="20.100000000000001" customHeight="1">
      <c r="A22" s="473"/>
      <c r="B22" s="472"/>
      <c r="C22" s="92" t="s">
        <v>6</v>
      </c>
      <c r="D22" s="250">
        <f>D21*1.1</f>
        <v>23601.600000000002</v>
      </c>
      <c r="E22" s="75"/>
      <c r="F22" s="75">
        <f>F21*1.1</f>
        <v>0</v>
      </c>
      <c r="G22" s="75"/>
      <c r="H22" s="75">
        <f>H21*1.1</f>
        <v>0</v>
      </c>
      <c r="I22" s="75"/>
      <c r="J22" s="75"/>
      <c r="K22" s="75"/>
      <c r="L22" s="75"/>
      <c r="M22" s="75"/>
      <c r="N22" s="75"/>
      <c r="O22" s="75">
        <f t="shared" ref="O22:AD22" si="15">O21*1.1</f>
        <v>0</v>
      </c>
      <c r="P22" s="75">
        <f t="shared" si="15"/>
        <v>0</v>
      </c>
      <c r="Q22" s="75">
        <f t="shared" si="15"/>
        <v>0</v>
      </c>
      <c r="R22" s="75">
        <f t="shared" si="15"/>
        <v>206362.2</v>
      </c>
      <c r="S22" s="75">
        <f t="shared" si="15"/>
        <v>0</v>
      </c>
      <c r="T22" s="75"/>
      <c r="U22" s="75"/>
      <c r="V22" s="75">
        <f t="shared" si="15"/>
        <v>0</v>
      </c>
      <c r="W22" s="75">
        <f t="shared" si="15"/>
        <v>0</v>
      </c>
      <c r="X22" s="75">
        <f t="shared" si="15"/>
        <v>0</v>
      </c>
      <c r="Y22" s="75">
        <f t="shared" si="15"/>
        <v>59136.000000000007</v>
      </c>
      <c r="Z22" s="75"/>
      <c r="AA22" s="75">
        <f t="shared" si="15"/>
        <v>0</v>
      </c>
      <c r="AB22" s="75"/>
      <c r="AC22" s="75"/>
      <c r="AD22" s="75">
        <f t="shared" si="15"/>
        <v>0</v>
      </c>
      <c r="AE22" s="75"/>
      <c r="AF22" s="75"/>
      <c r="AG22" s="244">
        <f t="shared" si="0"/>
        <v>289099.80000000005</v>
      </c>
    </row>
    <row r="23" spans="1:34" s="15" customFormat="1" ht="20.100000000000001" customHeight="1">
      <c r="A23" s="473"/>
      <c r="B23" s="442" t="s">
        <v>16</v>
      </c>
      <c r="C23" s="92" t="s">
        <v>5</v>
      </c>
      <c r="D23" s="117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244">
        <f t="shared" si="0"/>
        <v>0</v>
      </c>
    </row>
    <row r="24" spans="1:34" s="15" customFormat="1" ht="20.100000000000001" customHeight="1">
      <c r="A24" s="473"/>
      <c r="B24" s="442"/>
      <c r="C24" s="92" t="s">
        <v>6</v>
      </c>
      <c r="D24" s="117">
        <f>D23*1.1</f>
        <v>0</v>
      </c>
      <c r="E24" s="73"/>
      <c r="F24" s="73">
        <f>F23*1.1</f>
        <v>0</v>
      </c>
      <c r="G24" s="73">
        <f t="shared" ref="G24:AF24" si="16">G23*1.1</f>
        <v>0</v>
      </c>
      <c r="H24" s="73">
        <f t="shared" si="16"/>
        <v>0</v>
      </c>
      <c r="I24" s="73"/>
      <c r="J24" s="73"/>
      <c r="K24" s="73">
        <f t="shared" si="16"/>
        <v>0</v>
      </c>
      <c r="L24" s="73">
        <f t="shared" si="16"/>
        <v>0</v>
      </c>
      <c r="M24" s="73"/>
      <c r="N24" s="73"/>
      <c r="O24" s="73">
        <f t="shared" si="16"/>
        <v>0</v>
      </c>
      <c r="P24" s="73"/>
      <c r="Q24" s="73"/>
      <c r="R24" s="73"/>
      <c r="S24" s="73">
        <f t="shared" si="16"/>
        <v>0</v>
      </c>
      <c r="T24" s="73"/>
      <c r="U24" s="73"/>
      <c r="V24" s="73">
        <f t="shared" si="16"/>
        <v>0</v>
      </c>
      <c r="W24" s="73">
        <f t="shared" si="16"/>
        <v>0</v>
      </c>
      <c r="X24" s="73"/>
      <c r="Y24" s="73"/>
      <c r="Z24" s="73"/>
      <c r="AA24" s="73">
        <f t="shared" si="16"/>
        <v>0</v>
      </c>
      <c r="AB24" s="73"/>
      <c r="AC24" s="73">
        <f t="shared" si="16"/>
        <v>0</v>
      </c>
      <c r="AD24" s="73">
        <f t="shared" si="16"/>
        <v>0</v>
      </c>
      <c r="AE24" s="73">
        <f t="shared" si="16"/>
        <v>0</v>
      </c>
      <c r="AF24" s="73">
        <f t="shared" si="16"/>
        <v>0</v>
      </c>
      <c r="AG24" s="244">
        <f t="shared" si="0"/>
        <v>0</v>
      </c>
    </row>
    <row r="25" spans="1:34" s="15" customFormat="1" ht="20.100000000000001" customHeight="1">
      <c r="A25" s="473"/>
      <c r="B25" s="442" t="s">
        <v>17</v>
      </c>
      <c r="C25" s="92" t="s">
        <v>5</v>
      </c>
      <c r="D25" s="117">
        <v>268800</v>
      </c>
      <c r="E25" s="73"/>
      <c r="F25" s="311">
        <v>0</v>
      </c>
      <c r="G25" s="311">
        <v>0</v>
      </c>
      <c r="H25" s="73"/>
      <c r="I25" s="306">
        <v>107520</v>
      </c>
      <c r="J25" s="73"/>
      <c r="K25" s="73">
        <v>0</v>
      </c>
      <c r="L25" s="73"/>
      <c r="M25" s="73"/>
      <c r="N25" s="73"/>
      <c r="O25" s="73"/>
      <c r="P25" s="73"/>
      <c r="Q25" s="73"/>
      <c r="R25" s="73">
        <v>178560</v>
      </c>
      <c r="S25" s="73"/>
      <c r="T25" s="73">
        <v>124800</v>
      </c>
      <c r="U25" s="73"/>
      <c r="V25" s="73">
        <v>121920</v>
      </c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244">
        <f t="shared" si="0"/>
        <v>801600</v>
      </c>
    </row>
    <row r="26" spans="1:34" s="15" customFormat="1" ht="20.100000000000001" customHeight="1">
      <c r="A26" s="473"/>
      <c r="B26" s="442"/>
      <c r="C26" s="92" t="s">
        <v>6</v>
      </c>
      <c r="D26" s="117">
        <f>D25*1.1</f>
        <v>295680</v>
      </c>
      <c r="E26" s="73"/>
      <c r="F26" s="311">
        <f>F25*1.1</f>
        <v>0</v>
      </c>
      <c r="G26" s="311">
        <f>G25*1.1</f>
        <v>0</v>
      </c>
      <c r="H26" s="73">
        <f t="shared" ref="H26:AF26" si="17">H25*1.1</f>
        <v>0</v>
      </c>
      <c r="I26" s="306">
        <f>I25*1.1</f>
        <v>118272.00000000001</v>
      </c>
      <c r="J26" s="73"/>
      <c r="K26" s="73">
        <f t="shared" si="17"/>
        <v>0</v>
      </c>
      <c r="L26" s="73">
        <f t="shared" si="17"/>
        <v>0</v>
      </c>
      <c r="M26" s="73">
        <f t="shared" si="17"/>
        <v>0</v>
      </c>
      <c r="N26" s="73"/>
      <c r="O26" s="73">
        <f t="shared" si="17"/>
        <v>0</v>
      </c>
      <c r="P26" s="73">
        <f>P25*1.08</f>
        <v>0</v>
      </c>
      <c r="Q26" s="73">
        <f>Q25*1.08</f>
        <v>0</v>
      </c>
      <c r="R26" s="73">
        <f>R25*1.1</f>
        <v>196416.00000000003</v>
      </c>
      <c r="S26" s="73">
        <f t="shared" si="17"/>
        <v>0</v>
      </c>
      <c r="T26" s="73">
        <f t="shared" si="17"/>
        <v>137280</v>
      </c>
      <c r="U26" s="73"/>
      <c r="V26" s="73">
        <f t="shared" si="17"/>
        <v>134112</v>
      </c>
      <c r="W26" s="73">
        <f t="shared" si="17"/>
        <v>0</v>
      </c>
      <c r="X26" s="73"/>
      <c r="Y26" s="73"/>
      <c r="Z26" s="73"/>
      <c r="AA26" s="73">
        <f t="shared" si="17"/>
        <v>0</v>
      </c>
      <c r="AB26" s="73"/>
      <c r="AC26" s="73">
        <f t="shared" si="17"/>
        <v>0</v>
      </c>
      <c r="AD26" s="73">
        <f t="shared" si="17"/>
        <v>0</v>
      </c>
      <c r="AE26" s="73">
        <f t="shared" si="17"/>
        <v>0</v>
      </c>
      <c r="AF26" s="73">
        <f t="shared" si="17"/>
        <v>0</v>
      </c>
      <c r="AG26" s="244">
        <f t="shared" si="0"/>
        <v>881760</v>
      </c>
    </row>
    <row r="27" spans="1:34" s="15" customFormat="1" ht="20.100000000000001" customHeight="1">
      <c r="A27" s="473"/>
      <c r="B27" s="442" t="s">
        <v>18</v>
      </c>
      <c r="C27" s="92" t="s">
        <v>5</v>
      </c>
      <c r="D27" s="117">
        <f>150480-8360</f>
        <v>142120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>
        <v>144739</v>
      </c>
      <c r="S27" s="73"/>
      <c r="T27" s="73"/>
      <c r="U27" s="73"/>
      <c r="V27" s="73">
        <v>144739</v>
      </c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244">
        <f t="shared" si="0"/>
        <v>431598</v>
      </c>
    </row>
    <row r="28" spans="1:34" s="15" customFormat="1" ht="20.100000000000001" customHeight="1">
      <c r="A28" s="473"/>
      <c r="B28" s="442"/>
      <c r="C28" s="92" t="s">
        <v>6</v>
      </c>
      <c r="D28" s="117">
        <f>D27*1.08</f>
        <v>153489.60000000001</v>
      </c>
      <c r="E28" s="73"/>
      <c r="F28" s="73">
        <f>F27*1.08</f>
        <v>0</v>
      </c>
      <c r="G28" s="73">
        <f>G27*1.1</f>
        <v>0</v>
      </c>
      <c r="H28" s="73">
        <f>H27*1.1</f>
        <v>0</v>
      </c>
      <c r="I28" s="73"/>
      <c r="J28" s="73"/>
      <c r="K28" s="73"/>
      <c r="L28" s="73">
        <f>L27*1.1</f>
        <v>0</v>
      </c>
      <c r="M28" s="73"/>
      <c r="N28" s="73"/>
      <c r="O28" s="73">
        <f>O27*1.1</f>
        <v>0</v>
      </c>
      <c r="P28" s="251"/>
      <c r="Q28" s="73"/>
      <c r="R28" s="73">
        <f>(142120*1.08)+2880-1</f>
        <v>156368.6</v>
      </c>
      <c r="S28" s="73"/>
      <c r="T28" s="73"/>
      <c r="U28" s="73"/>
      <c r="V28" s="73">
        <f>(142120*1.08)+2880-1</f>
        <v>156368.6</v>
      </c>
      <c r="W28" s="73">
        <f>W27*1.1</f>
        <v>0</v>
      </c>
      <c r="X28" s="73"/>
      <c r="Y28" s="73"/>
      <c r="Z28" s="73"/>
      <c r="AA28" s="73">
        <f>AA27*1.1</f>
        <v>0</v>
      </c>
      <c r="AB28" s="73"/>
      <c r="AC28" s="73">
        <f>AC27*1.1</f>
        <v>0</v>
      </c>
      <c r="AD28" s="73">
        <f>AD27*1.1</f>
        <v>0</v>
      </c>
      <c r="AE28" s="73">
        <f>AE27*1.1</f>
        <v>0</v>
      </c>
      <c r="AF28" s="73">
        <f>AF27*1.1</f>
        <v>0</v>
      </c>
      <c r="AG28" s="244">
        <f t="shared" si="0"/>
        <v>466226.80000000005</v>
      </c>
    </row>
    <row r="29" spans="1:34" s="15" customFormat="1" ht="20.100000000000001" customHeight="1">
      <c r="A29" s="473"/>
      <c r="B29" s="442" t="s">
        <v>19</v>
      </c>
      <c r="C29" s="92" t="s">
        <v>5</v>
      </c>
      <c r="D29" s="117">
        <v>266880</v>
      </c>
      <c r="E29" s="73"/>
      <c r="F29" s="73"/>
      <c r="G29" s="73"/>
      <c r="H29" s="73"/>
      <c r="I29" s="73">
        <v>266880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>
        <v>334080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244">
        <f t="shared" si="0"/>
        <v>867840</v>
      </c>
      <c r="AH29" s="43"/>
    </row>
    <row r="30" spans="1:34" s="15" customFormat="1" ht="20.100000000000001" customHeight="1">
      <c r="A30" s="473"/>
      <c r="B30" s="442"/>
      <c r="C30" s="92" t="s">
        <v>6</v>
      </c>
      <c r="D30" s="117">
        <f>D29*1.1</f>
        <v>293568</v>
      </c>
      <c r="E30" s="73">
        <f>E29*1.1</f>
        <v>0</v>
      </c>
      <c r="F30" s="73">
        <f>F29*1.1</f>
        <v>0</v>
      </c>
      <c r="G30" s="73">
        <f>G29*1.1</f>
        <v>0</v>
      </c>
      <c r="H30" s="73">
        <f t="shared" ref="H30:AF30" si="18">H29*1.1</f>
        <v>0</v>
      </c>
      <c r="I30" s="73">
        <f t="shared" si="18"/>
        <v>293568</v>
      </c>
      <c r="J30" s="73"/>
      <c r="K30" s="73">
        <f>K29*1.1</f>
        <v>0</v>
      </c>
      <c r="L30" s="73">
        <f t="shared" si="18"/>
        <v>0</v>
      </c>
      <c r="M30" s="73">
        <f t="shared" si="18"/>
        <v>0</v>
      </c>
      <c r="N30" s="73"/>
      <c r="O30" s="73">
        <f t="shared" si="18"/>
        <v>0</v>
      </c>
      <c r="P30" s="73">
        <f t="shared" si="18"/>
        <v>0</v>
      </c>
      <c r="Q30" s="73"/>
      <c r="R30" s="73"/>
      <c r="S30" s="73">
        <f t="shared" si="18"/>
        <v>0</v>
      </c>
      <c r="T30" s="73">
        <f t="shared" si="18"/>
        <v>367488.00000000006</v>
      </c>
      <c r="U30" s="73"/>
      <c r="V30" s="73">
        <f t="shared" si="18"/>
        <v>0</v>
      </c>
      <c r="W30" s="73">
        <f t="shared" si="18"/>
        <v>0</v>
      </c>
      <c r="X30" s="73"/>
      <c r="Y30" s="73"/>
      <c r="Z30" s="73"/>
      <c r="AA30" s="73">
        <f t="shared" si="18"/>
        <v>0</v>
      </c>
      <c r="AB30" s="73"/>
      <c r="AC30" s="73">
        <f t="shared" si="18"/>
        <v>0</v>
      </c>
      <c r="AD30" s="73">
        <f t="shared" si="18"/>
        <v>0</v>
      </c>
      <c r="AE30" s="73">
        <f t="shared" si="18"/>
        <v>0</v>
      </c>
      <c r="AF30" s="73">
        <f t="shared" si="18"/>
        <v>0</v>
      </c>
      <c r="AG30" s="244">
        <f t="shared" si="0"/>
        <v>954624</v>
      </c>
    </row>
    <row r="31" spans="1:34" s="15" customFormat="1" ht="20.100000000000001" customHeight="1">
      <c r="A31" s="473"/>
      <c r="B31" s="442" t="s">
        <v>92</v>
      </c>
      <c r="C31" s="92" t="s">
        <v>5</v>
      </c>
      <c r="D31" s="117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244">
        <f t="shared" si="0"/>
        <v>0</v>
      </c>
    </row>
    <row r="32" spans="1:34" s="15" customFormat="1" ht="20.100000000000001" customHeight="1">
      <c r="A32" s="473"/>
      <c r="B32" s="442"/>
      <c r="C32" s="92" t="s">
        <v>6</v>
      </c>
      <c r="D32" s="117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244">
        <f t="shared" si="0"/>
        <v>0</v>
      </c>
    </row>
    <row r="33" spans="1:33" s="15" customFormat="1" ht="20.100000000000001" customHeight="1">
      <c r="A33" s="473"/>
      <c r="B33" s="442" t="s">
        <v>94</v>
      </c>
      <c r="C33" s="92" t="s">
        <v>5</v>
      </c>
      <c r="D33" s="117">
        <v>21600</v>
      </c>
      <c r="E33" s="73"/>
      <c r="F33" s="73"/>
      <c r="G33" s="73"/>
      <c r="H33" s="73"/>
      <c r="I33" s="73">
        <v>85440</v>
      </c>
      <c r="J33" s="73"/>
      <c r="K33" s="73"/>
      <c r="L33" s="73"/>
      <c r="M33" s="73"/>
      <c r="N33" s="73"/>
      <c r="O33" s="73"/>
      <c r="P33" s="73"/>
      <c r="Q33" s="73"/>
      <c r="R33" s="73">
        <v>28800</v>
      </c>
      <c r="S33" s="73"/>
      <c r="T33" s="73">
        <v>37392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244">
        <f t="shared" si="0"/>
        <v>173232</v>
      </c>
    </row>
    <row r="34" spans="1:33" s="15" customFormat="1" ht="20.100000000000001" customHeight="1">
      <c r="A34" s="473"/>
      <c r="B34" s="442"/>
      <c r="C34" s="92" t="s">
        <v>6</v>
      </c>
      <c r="D34" s="117">
        <f>D33*1.1</f>
        <v>23760.000000000004</v>
      </c>
      <c r="E34" s="73"/>
      <c r="F34" s="73">
        <f>F33*1.1</f>
        <v>0</v>
      </c>
      <c r="G34" s="73"/>
      <c r="H34" s="73">
        <f>H33*1.1</f>
        <v>0</v>
      </c>
      <c r="I34" s="73">
        <f>I33*1.1</f>
        <v>93984.000000000015</v>
      </c>
      <c r="J34" s="73"/>
      <c r="K34" s="73">
        <f>K33*1.1</f>
        <v>0</v>
      </c>
      <c r="L34" s="73">
        <f>L33*1.1</f>
        <v>0</v>
      </c>
      <c r="M34" s="73">
        <f>M33*1.1</f>
        <v>0</v>
      </c>
      <c r="N34" s="73"/>
      <c r="O34" s="73">
        <f>O33*1.1</f>
        <v>0</v>
      </c>
      <c r="P34" s="73">
        <f>P33*1.1</f>
        <v>0</v>
      </c>
      <c r="Q34" s="73"/>
      <c r="R34" s="73">
        <f>R33*1.1</f>
        <v>31680.000000000004</v>
      </c>
      <c r="S34" s="73">
        <f>S33*1.1</f>
        <v>0</v>
      </c>
      <c r="T34" s="73">
        <f>T33*1.1</f>
        <v>41131.200000000004</v>
      </c>
      <c r="U34" s="73"/>
      <c r="V34" s="73"/>
      <c r="W34" s="73"/>
      <c r="X34" s="73"/>
      <c r="Y34" s="73"/>
      <c r="Z34" s="73"/>
      <c r="AA34" s="73">
        <f>AA33*1.1</f>
        <v>0</v>
      </c>
      <c r="AB34" s="73"/>
      <c r="AC34" s="73"/>
      <c r="AD34" s="73"/>
      <c r="AE34" s="73"/>
      <c r="AF34" s="73"/>
      <c r="AG34" s="244">
        <f t="shared" si="0"/>
        <v>190555.20000000004</v>
      </c>
    </row>
    <row r="35" spans="1:33" s="15" customFormat="1" ht="20.100000000000001" customHeight="1">
      <c r="A35" s="473"/>
      <c r="B35" s="442" t="s">
        <v>97</v>
      </c>
      <c r="C35" s="92" t="s">
        <v>5</v>
      </c>
      <c r="D35" s="117">
        <v>18000</v>
      </c>
      <c r="E35" s="73"/>
      <c r="F35" s="73"/>
      <c r="G35" s="73"/>
      <c r="H35" s="73"/>
      <c r="I35" s="306">
        <v>39000</v>
      </c>
      <c r="J35" s="73"/>
      <c r="K35" s="73"/>
      <c r="L35" s="73"/>
      <c r="M35" s="73"/>
      <c r="N35" s="73"/>
      <c r="O35" s="73"/>
      <c r="P35" s="73"/>
      <c r="Q35" s="73"/>
      <c r="R35" s="73">
        <f>83000+27000</f>
        <v>110000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244">
        <f t="shared" ref="AG35:AG66" si="19">SUM(D35:AF35)</f>
        <v>167000</v>
      </c>
    </row>
    <row r="36" spans="1:33" s="15" customFormat="1" ht="20.100000000000001" customHeight="1">
      <c r="A36" s="473"/>
      <c r="B36" s="442"/>
      <c r="C36" s="92" t="s">
        <v>6</v>
      </c>
      <c r="D36" s="117">
        <f t="shared" ref="D36:I36" si="20">D35*1.1</f>
        <v>19800</v>
      </c>
      <c r="E36" s="73">
        <f t="shared" si="20"/>
        <v>0</v>
      </c>
      <c r="F36" s="73">
        <f t="shared" si="20"/>
        <v>0</v>
      </c>
      <c r="G36" s="73">
        <f t="shared" si="20"/>
        <v>0</v>
      </c>
      <c r="H36" s="73">
        <f t="shared" si="20"/>
        <v>0</v>
      </c>
      <c r="I36" s="306">
        <f t="shared" si="20"/>
        <v>42900</v>
      </c>
      <c r="J36" s="73"/>
      <c r="K36" s="73">
        <f>K35*1.1</f>
        <v>0</v>
      </c>
      <c r="L36" s="73">
        <f>L35*1.1</f>
        <v>0</v>
      </c>
      <c r="M36" s="73">
        <f>M35*1.1</f>
        <v>0</v>
      </c>
      <c r="N36" s="73"/>
      <c r="O36" s="73">
        <f>O35*1.1</f>
        <v>0</v>
      </c>
      <c r="P36" s="73">
        <f>P35*1.1</f>
        <v>0</v>
      </c>
      <c r="Q36" s="73">
        <f>Q35*1.1</f>
        <v>0</v>
      </c>
      <c r="R36" s="73">
        <f>R35*1.1</f>
        <v>121000.00000000001</v>
      </c>
      <c r="S36" s="73">
        <f>S35*1.1</f>
        <v>0</v>
      </c>
      <c r="T36" s="73"/>
      <c r="U36" s="73"/>
      <c r="V36" s="73">
        <f>V35*1.1</f>
        <v>0</v>
      </c>
      <c r="W36" s="73">
        <f>W35*1.1</f>
        <v>0</v>
      </c>
      <c r="X36" s="73"/>
      <c r="Y36" s="73"/>
      <c r="Z36" s="73"/>
      <c r="AA36" s="73">
        <f>AA35*1.1</f>
        <v>0</v>
      </c>
      <c r="AB36" s="73"/>
      <c r="AC36" s="73">
        <f>AC35*1.1</f>
        <v>0</v>
      </c>
      <c r="AD36" s="73">
        <f>AD35*1.1</f>
        <v>0</v>
      </c>
      <c r="AE36" s="73">
        <f>AE35*1.1</f>
        <v>0</v>
      </c>
      <c r="AF36" s="73">
        <f>AF35*1.1</f>
        <v>0</v>
      </c>
      <c r="AG36" s="244">
        <f t="shared" si="19"/>
        <v>183700</v>
      </c>
    </row>
    <row r="37" spans="1:33" s="15" customFormat="1" ht="20.100000000000001" customHeight="1">
      <c r="A37" s="473"/>
      <c r="B37" s="442" t="s">
        <v>98</v>
      </c>
      <c r="C37" s="92" t="s">
        <v>5</v>
      </c>
      <c r="D37" s="11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>
        <v>40320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>
        <v>20400</v>
      </c>
      <c r="AD37" s="73"/>
      <c r="AE37" s="73"/>
      <c r="AF37" s="73"/>
      <c r="AG37" s="244">
        <f t="shared" si="19"/>
        <v>60720</v>
      </c>
    </row>
    <row r="38" spans="1:33" s="15" customFormat="1" ht="20.100000000000001" customHeight="1">
      <c r="A38" s="473"/>
      <c r="B38" s="442"/>
      <c r="C38" s="92" t="s">
        <v>6</v>
      </c>
      <c r="D38" s="117"/>
      <c r="E38" s="73"/>
      <c r="F38" s="73">
        <f>F37*1.1</f>
        <v>0</v>
      </c>
      <c r="G38" s="73">
        <f t="shared" ref="G38:AE38" si="21">G37*1.1</f>
        <v>0</v>
      </c>
      <c r="H38" s="73">
        <f t="shared" si="21"/>
        <v>0</v>
      </c>
      <c r="I38" s="73"/>
      <c r="J38" s="73"/>
      <c r="K38" s="73">
        <f t="shared" si="21"/>
        <v>0</v>
      </c>
      <c r="L38" s="73">
        <f t="shared" si="21"/>
        <v>0</v>
      </c>
      <c r="M38" s="73"/>
      <c r="N38" s="73"/>
      <c r="O38" s="73">
        <f t="shared" si="21"/>
        <v>0</v>
      </c>
      <c r="P38" s="73"/>
      <c r="Q38" s="73"/>
      <c r="R38" s="73">
        <f>R37*1.1</f>
        <v>44352</v>
      </c>
      <c r="S38" s="73">
        <f t="shared" si="21"/>
        <v>0</v>
      </c>
      <c r="T38" s="73"/>
      <c r="U38" s="73"/>
      <c r="V38" s="73">
        <f t="shared" si="21"/>
        <v>0</v>
      </c>
      <c r="W38" s="73">
        <f t="shared" si="21"/>
        <v>0</v>
      </c>
      <c r="X38" s="73"/>
      <c r="Y38" s="73"/>
      <c r="Z38" s="73"/>
      <c r="AA38" s="73">
        <f t="shared" si="21"/>
        <v>0</v>
      </c>
      <c r="AB38" s="73"/>
      <c r="AC38" s="73">
        <f t="shared" si="21"/>
        <v>22440</v>
      </c>
      <c r="AD38" s="73">
        <f t="shared" si="21"/>
        <v>0</v>
      </c>
      <c r="AE38" s="73">
        <f t="shared" si="21"/>
        <v>0</v>
      </c>
      <c r="AF38" s="73"/>
      <c r="AG38" s="244">
        <f t="shared" si="19"/>
        <v>66792</v>
      </c>
    </row>
    <row r="39" spans="1:33" s="15" customFormat="1" ht="20.100000000000001" customHeight="1">
      <c r="A39" s="473"/>
      <c r="B39" s="442" t="s">
        <v>100</v>
      </c>
      <c r="C39" s="92" t="s">
        <v>5</v>
      </c>
      <c r="D39" s="117">
        <v>705680</v>
      </c>
      <c r="E39" s="73"/>
      <c r="F39" s="73"/>
      <c r="G39" s="73"/>
      <c r="H39" s="73"/>
      <c r="I39" s="306">
        <v>894180</v>
      </c>
      <c r="J39" s="73"/>
      <c r="K39" s="73"/>
      <c r="L39" s="73"/>
      <c r="M39" s="73"/>
      <c r="N39" s="73"/>
      <c r="O39" s="73"/>
      <c r="P39" s="73"/>
      <c r="Q39" s="73"/>
      <c r="R39" s="73">
        <v>2030280</v>
      </c>
      <c r="S39" s="73"/>
      <c r="T39" s="73">
        <v>848010</v>
      </c>
      <c r="U39" s="73"/>
      <c r="V39" s="73">
        <v>333500</v>
      </c>
      <c r="W39" s="73"/>
      <c r="X39" s="73">
        <v>24320</v>
      </c>
      <c r="Y39" s="73"/>
      <c r="Z39" s="73"/>
      <c r="AA39" s="73"/>
      <c r="AB39" s="73"/>
      <c r="AC39" s="73">
        <v>699600</v>
      </c>
      <c r="AD39" s="73"/>
      <c r="AE39" s="73"/>
      <c r="AF39" s="73"/>
      <c r="AG39" s="244">
        <f t="shared" si="19"/>
        <v>5535570</v>
      </c>
    </row>
    <row r="40" spans="1:33" s="15" customFormat="1" ht="20.100000000000001" customHeight="1">
      <c r="A40" s="473"/>
      <c r="B40" s="442"/>
      <c r="C40" s="92" t="s">
        <v>6</v>
      </c>
      <c r="D40" s="117">
        <f>D39*1.1</f>
        <v>776248.00000000012</v>
      </c>
      <c r="E40" s="73"/>
      <c r="F40" s="73"/>
      <c r="G40" s="73">
        <f>G39*1.1</f>
        <v>0</v>
      </c>
      <c r="H40" s="73">
        <f t="shared" ref="H40:AF40" si="22">H39*1.1</f>
        <v>0</v>
      </c>
      <c r="I40" s="306">
        <f t="shared" si="22"/>
        <v>983598.00000000012</v>
      </c>
      <c r="J40" s="73"/>
      <c r="K40" s="73">
        <f t="shared" si="22"/>
        <v>0</v>
      </c>
      <c r="L40" s="73">
        <f t="shared" si="22"/>
        <v>0</v>
      </c>
      <c r="M40" s="73">
        <f t="shared" si="22"/>
        <v>0</v>
      </c>
      <c r="N40" s="73"/>
      <c r="O40" s="73">
        <f t="shared" si="22"/>
        <v>0</v>
      </c>
      <c r="P40" s="73">
        <f t="shared" si="22"/>
        <v>0</v>
      </c>
      <c r="Q40" s="73">
        <f t="shared" si="22"/>
        <v>0</v>
      </c>
      <c r="R40" s="73">
        <f t="shared" si="22"/>
        <v>2233308</v>
      </c>
      <c r="S40" s="73">
        <f t="shared" si="22"/>
        <v>0</v>
      </c>
      <c r="T40" s="73">
        <f t="shared" si="22"/>
        <v>932811.00000000012</v>
      </c>
      <c r="U40" s="73"/>
      <c r="V40" s="73">
        <f t="shared" si="22"/>
        <v>366850.00000000006</v>
      </c>
      <c r="W40" s="73">
        <f t="shared" si="22"/>
        <v>0</v>
      </c>
      <c r="X40" s="73">
        <f>X39*1.1</f>
        <v>26752.000000000004</v>
      </c>
      <c r="Y40" s="73"/>
      <c r="Z40" s="73">
        <f>Z39*1.1</f>
        <v>0</v>
      </c>
      <c r="AA40" s="73">
        <f t="shared" si="22"/>
        <v>0</v>
      </c>
      <c r="AB40" s="73"/>
      <c r="AC40" s="73">
        <f t="shared" si="22"/>
        <v>769560.00000000012</v>
      </c>
      <c r="AD40" s="73">
        <f t="shared" si="22"/>
        <v>0</v>
      </c>
      <c r="AE40" s="73">
        <f t="shared" si="22"/>
        <v>0</v>
      </c>
      <c r="AF40" s="73">
        <f t="shared" si="22"/>
        <v>0</v>
      </c>
      <c r="AG40" s="244">
        <f t="shared" si="19"/>
        <v>6089127</v>
      </c>
    </row>
    <row r="41" spans="1:33" s="15" customFormat="1" ht="20.100000000000001" customHeight="1">
      <c r="A41" s="473"/>
      <c r="B41" s="442" t="s">
        <v>102</v>
      </c>
      <c r="C41" s="92" t="s">
        <v>5</v>
      </c>
      <c r="D41" s="117">
        <v>31500</v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>
        <v>47250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244">
        <f t="shared" si="19"/>
        <v>78750</v>
      </c>
    </row>
    <row r="42" spans="1:33" s="15" customFormat="1" ht="20.100000000000001" customHeight="1">
      <c r="A42" s="473"/>
      <c r="B42" s="442"/>
      <c r="C42" s="92" t="s">
        <v>6</v>
      </c>
      <c r="D42" s="117">
        <f>D41*1.1</f>
        <v>34650</v>
      </c>
      <c r="E42" s="73">
        <f>E41*1.1</f>
        <v>0</v>
      </c>
      <c r="F42" s="73">
        <f>F41*1.08</f>
        <v>0</v>
      </c>
      <c r="G42" s="73">
        <f>G41*1.1</f>
        <v>0</v>
      </c>
      <c r="H42" s="73">
        <f t="shared" ref="H42:AF42" si="23">H41*1.1</f>
        <v>0</v>
      </c>
      <c r="I42" s="73"/>
      <c r="J42" s="73"/>
      <c r="K42" s="73">
        <f t="shared" si="23"/>
        <v>0</v>
      </c>
      <c r="L42" s="73">
        <f t="shared" si="23"/>
        <v>0</v>
      </c>
      <c r="M42" s="73"/>
      <c r="N42" s="73"/>
      <c r="O42" s="73">
        <f t="shared" si="23"/>
        <v>0</v>
      </c>
      <c r="P42" s="73">
        <f t="shared" si="23"/>
        <v>0</v>
      </c>
      <c r="Q42" s="73">
        <f t="shared" si="23"/>
        <v>0</v>
      </c>
      <c r="R42" s="73"/>
      <c r="S42" s="73">
        <f t="shared" si="23"/>
        <v>0</v>
      </c>
      <c r="T42" s="73">
        <f t="shared" si="23"/>
        <v>51975.000000000007</v>
      </c>
      <c r="U42" s="73"/>
      <c r="V42" s="73">
        <f t="shared" si="23"/>
        <v>0</v>
      </c>
      <c r="W42" s="73">
        <f t="shared" si="23"/>
        <v>0</v>
      </c>
      <c r="X42" s="73"/>
      <c r="Y42" s="73"/>
      <c r="Z42" s="73"/>
      <c r="AA42" s="73">
        <f t="shared" si="23"/>
        <v>0</v>
      </c>
      <c r="AB42" s="73"/>
      <c r="AC42" s="73">
        <f t="shared" si="23"/>
        <v>0</v>
      </c>
      <c r="AD42" s="73">
        <f t="shared" si="23"/>
        <v>0</v>
      </c>
      <c r="AE42" s="73">
        <f t="shared" si="23"/>
        <v>0</v>
      </c>
      <c r="AF42" s="73">
        <f t="shared" si="23"/>
        <v>0</v>
      </c>
      <c r="AG42" s="244">
        <f t="shared" si="19"/>
        <v>86625</v>
      </c>
    </row>
    <row r="43" spans="1:33" s="15" customFormat="1" ht="20.100000000000001" customHeight="1">
      <c r="A43" s="473"/>
      <c r="B43" s="442" t="s">
        <v>103</v>
      </c>
      <c r="C43" s="92" t="s">
        <v>5</v>
      </c>
      <c r="D43" s="117">
        <v>588000</v>
      </c>
      <c r="E43" s="73">
        <f>7200+600</f>
        <v>7800</v>
      </c>
      <c r="F43" s="73"/>
      <c r="G43" s="73"/>
      <c r="H43" s="306">
        <v>4000</v>
      </c>
      <c r="I43" s="73">
        <v>1270200</v>
      </c>
      <c r="J43" s="73"/>
      <c r="K43" s="73">
        <f>4200+600</f>
        <v>4800</v>
      </c>
      <c r="L43" s="73"/>
      <c r="M43" s="73"/>
      <c r="N43" s="73"/>
      <c r="O43" s="73"/>
      <c r="P43" s="73">
        <f>36000+20000+600</f>
        <v>56600</v>
      </c>
      <c r="Q43" s="73">
        <f>7200+600</f>
        <v>7800</v>
      </c>
      <c r="R43" s="73">
        <f>1800000+88200+120000</f>
        <v>2008200</v>
      </c>
      <c r="S43" s="73"/>
      <c r="T43" s="73">
        <f>2482800+650</f>
        <v>2483450</v>
      </c>
      <c r="U43" s="73"/>
      <c r="V43" s="73">
        <v>864000</v>
      </c>
      <c r="W43" s="73"/>
      <c r="X43" s="73"/>
      <c r="Y43" s="73"/>
      <c r="Z43" s="73">
        <v>43200</v>
      </c>
      <c r="AA43" s="73"/>
      <c r="AB43" s="73"/>
      <c r="AC43" s="73">
        <v>840000</v>
      </c>
      <c r="AD43" s="73"/>
      <c r="AE43" s="73">
        <v>23760</v>
      </c>
      <c r="AF43" s="73"/>
      <c r="AG43" s="244">
        <f t="shared" si="19"/>
        <v>8201810</v>
      </c>
    </row>
    <row r="44" spans="1:33" s="15" customFormat="1" ht="20.100000000000001" customHeight="1">
      <c r="A44" s="473"/>
      <c r="B44" s="442"/>
      <c r="C44" s="92" t="s">
        <v>6</v>
      </c>
      <c r="D44" s="117">
        <f>D43*1.1</f>
        <v>646800</v>
      </c>
      <c r="E44" s="117">
        <f>E43*1.1</f>
        <v>8580</v>
      </c>
      <c r="F44" s="73"/>
      <c r="G44" s="73">
        <f>G43*1.1</f>
        <v>0</v>
      </c>
      <c r="H44" s="306">
        <f>H43*1.1</f>
        <v>4400</v>
      </c>
      <c r="I44" s="73">
        <f>I43*1.1</f>
        <v>1397220</v>
      </c>
      <c r="J44" s="73"/>
      <c r="K44" s="73">
        <f>K43*1.1</f>
        <v>5280</v>
      </c>
      <c r="L44" s="73">
        <f t="shared" ref="L44:AF44" si="24">L43*1.1</f>
        <v>0</v>
      </c>
      <c r="M44" s="73">
        <f t="shared" si="24"/>
        <v>0</v>
      </c>
      <c r="N44" s="73">
        <f t="shared" si="24"/>
        <v>0</v>
      </c>
      <c r="O44" s="73">
        <f t="shared" si="24"/>
        <v>0</v>
      </c>
      <c r="P44" s="73">
        <f t="shared" si="24"/>
        <v>62260.000000000007</v>
      </c>
      <c r="Q44" s="73">
        <f t="shared" si="24"/>
        <v>8580</v>
      </c>
      <c r="R44" s="73">
        <f t="shared" si="24"/>
        <v>2209020</v>
      </c>
      <c r="S44" s="73">
        <f t="shared" si="24"/>
        <v>0</v>
      </c>
      <c r="T44" s="73">
        <f t="shared" si="24"/>
        <v>2731795</v>
      </c>
      <c r="U44" s="73"/>
      <c r="V44" s="73">
        <f t="shared" si="24"/>
        <v>950400.00000000012</v>
      </c>
      <c r="W44" s="73">
        <f t="shared" si="24"/>
        <v>0</v>
      </c>
      <c r="X44" s="73"/>
      <c r="Y44" s="73"/>
      <c r="Z44" s="73">
        <f t="shared" si="24"/>
        <v>47520.000000000007</v>
      </c>
      <c r="AA44" s="73">
        <f t="shared" si="24"/>
        <v>0</v>
      </c>
      <c r="AB44" s="73"/>
      <c r="AC44" s="73">
        <f t="shared" si="24"/>
        <v>924000.00000000012</v>
      </c>
      <c r="AD44" s="73">
        <f t="shared" si="24"/>
        <v>0</v>
      </c>
      <c r="AE44" s="73">
        <f t="shared" si="24"/>
        <v>26136.000000000004</v>
      </c>
      <c r="AF44" s="73">
        <f t="shared" si="24"/>
        <v>0</v>
      </c>
      <c r="AG44" s="244">
        <f t="shared" si="19"/>
        <v>9021991</v>
      </c>
    </row>
    <row r="45" spans="1:33" s="15" customFormat="1" ht="19.5" customHeight="1">
      <c r="A45" s="473"/>
      <c r="B45" s="442" t="s">
        <v>104</v>
      </c>
      <c r="C45" s="92" t="s">
        <v>5</v>
      </c>
      <c r="D45" s="117">
        <v>639890</v>
      </c>
      <c r="E45" s="73">
        <f>15235+1300</f>
        <v>16535</v>
      </c>
      <c r="F45" s="73"/>
      <c r="G45" s="73"/>
      <c r="H45" s="73">
        <v>128424</v>
      </c>
      <c r="I45" s="73">
        <v>1384442</v>
      </c>
      <c r="J45" s="73"/>
      <c r="K45" s="73">
        <v>16724</v>
      </c>
      <c r="L45" s="73"/>
      <c r="M45" s="252"/>
      <c r="N45" s="252">
        <v>147144</v>
      </c>
      <c r="O45" s="252"/>
      <c r="P45" s="252"/>
      <c r="Q45" s="73"/>
      <c r="R45" s="73">
        <f>453334+3510</f>
        <v>456844</v>
      </c>
      <c r="S45" s="73"/>
      <c r="T45" s="73">
        <v>425100</v>
      </c>
      <c r="U45" s="73"/>
      <c r="V45" s="73">
        <v>1089618</v>
      </c>
      <c r="W45" s="73">
        <v>74696</v>
      </c>
      <c r="X45" s="73"/>
      <c r="Y45" s="73"/>
      <c r="Z45" s="73"/>
      <c r="AA45" s="73"/>
      <c r="AB45" s="73"/>
      <c r="AC45" s="73">
        <f>460850+99450</f>
        <v>560300</v>
      </c>
      <c r="AD45" s="73"/>
      <c r="AE45" s="73"/>
      <c r="AF45" s="73"/>
      <c r="AG45" s="244">
        <f t="shared" si="19"/>
        <v>4939717</v>
      </c>
    </row>
    <row r="46" spans="1:33" s="15" customFormat="1" ht="20.100000000000001" customHeight="1">
      <c r="A46" s="473"/>
      <c r="B46" s="442"/>
      <c r="C46" s="92" t="s">
        <v>6</v>
      </c>
      <c r="D46" s="117">
        <f>D45*1.1</f>
        <v>703879</v>
      </c>
      <c r="E46" s="73">
        <v>18188</v>
      </c>
      <c r="F46" s="73">
        <f>F45*1.1</f>
        <v>0</v>
      </c>
      <c r="G46" s="73"/>
      <c r="H46" s="306">
        <f>H45*1.1</f>
        <v>141266.40000000002</v>
      </c>
      <c r="I46" s="73">
        <f>I45*1.1</f>
        <v>1522886.2000000002</v>
      </c>
      <c r="J46" s="73"/>
      <c r="K46" s="73">
        <f>K45*1.1</f>
        <v>18396.400000000001</v>
      </c>
      <c r="L46" s="245">
        <f t="shared" ref="L46:AF46" si="25">L45*1.1</f>
        <v>0</v>
      </c>
      <c r="M46" s="73">
        <f>M45*1.1</f>
        <v>0</v>
      </c>
      <c r="N46" s="73">
        <f>N45*1.1</f>
        <v>161858.40000000002</v>
      </c>
      <c r="O46" s="73">
        <f t="shared" si="25"/>
        <v>0</v>
      </c>
      <c r="P46" s="73"/>
      <c r="Q46" s="73">
        <f t="shared" si="25"/>
        <v>0</v>
      </c>
      <c r="R46" s="73">
        <f t="shared" si="25"/>
        <v>502528.4</v>
      </c>
      <c r="S46" s="73">
        <f t="shared" si="25"/>
        <v>0</v>
      </c>
      <c r="T46" s="73">
        <f t="shared" si="25"/>
        <v>467610.00000000006</v>
      </c>
      <c r="U46" s="73"/>
      <c r="V46" s="73">
        <f t="shared" si="25"/>
        <v>1198579.8</v>
      </c>
      <c r="W46" s="73">
        <f t="shared" si="25"/>
        <v>82165.600000000006</v>
      </c>
      <c r="X46" s="73">
        <f t="shared" si="25"/>
        <v>0</v>
      </c>
      <c r="Y46" s="73">
        <f t="shared" si="25"/>
        <v>0</v>
      </c>
      <c r="Z46" s="73">
        <f t="shared" si="25"/>
        <v>0</v>
      </c>
      <c r="AA46" s="73">
        <f t="shared" si="25"/>
        <v>0</v>
      </c>
      <c r="AB46" s="73"/>
      <c r="AC46" s="73">
        <f t="shared" si="25"/>
        <v>616330</v>
      </c>
      <c r="AD46" s="73">
        <f t="shared" si="25"/>
        <v>0</v>
      </c>
      <c r="AE46" s="73">
        <f t="shared" si="25"/>
        <v>0</v>
      </c>
      <c r="AF46" s="73">
        <f t="shared" si="25"/>
        <v>0</v>
      </c>
      <c r="AG46" s="244">
        <f t="shared" si="19"/>
        <v>5433688.1999999993</v>
      </c>
    </row>
    <row r="47" spans="1:33" s="15" customFormat="1" ht="20.100000000000001" customHeight="1">
      <c r="A47" s="473"/>
      <c r="B47" s="442" t="s">
        <v>105</v>
      </c>
      <c r="C47" s="92" t="s">
        <v>5</v>
      </c>
      <c r="D47" s="117"/>
      <c r="E47" s="73"/>
      <c r="F47" s="73"/>
      <c r="G47" s="73"/>
      <c r="H47" s="73"/>
      <c r="I47" s="73"/>
      <c r="J47" s="73"/>
      <c r="K47" s="73"/>
      <c r="L47" s="245"/>
      <c r="M47" s="73"/>
      <c r="N47" s="73"/>
      <c r="O47" s="73"/>
      <c r="P47" s="117"/>
      <c r="Q47" s="117"/>
      <c r="R47" s="117"/>
      <c r="S47" s="73"/>
      <c r="T47" s="73"/>
      <c r="U47" s="73"/>
      <c r="V47" s="73"/>
      <c r="W47" s="73"/>
      <c r="X47" s="73"/>
      <c r="Y47" s="73">
        <v>1508460</v>
      </c>
      <c r="Z47" s="73"/>
      <c r="AA47" s="73"/>
      <c r="AB47" s="73"/>
      <c r="AC47" s="73"/>
      <c r="AD47" s="73"/>
      <c r="AE47" s="73"/>
      <c r="AF47" s="73"/>
      <c r="AG47" s="244">
        <f t="shared" si="19"/>
        <v>1508460</v>
      </c>
    </row>
    <row r="48" spans="1:33" s="15" customFormat="1" ht="20.100000000000001" customHeight="1">
      <c r="A48" s="473"/>
      <c r="B48" s="442"/>
      <c r="C48" s="92" t="s">
        <v>6</v>
      </c>
      <c r="D48" s="253"/>
      <c r="E48" s="252"/>
      <c r="F48" s="73"/>
      <c r="G48" s="73"/>
      <c r="H48" s="73"/>
      <c r="I48" s="73"/>
      <c r="J48" s="73"/>
      <c r="K48" s="73"/>
      <c r="L48" s="245"/>
      <c r="M48" s="73"/>
      <c r="N48" s="73"/>
      <c r="O48" s="73"/>
      <c r="P48" s="117"/>
      <c r="Q48" s="117"/>
      <c r="R48" s="117"/>
      <c r="S48" s="73"/>
      <c r="T48" s="73"/>
      <c r="U48" s="73"/>
      <c r="V48" s="73">
        <f t="shared" ref="V48:AA48" si="26">V47*1.1</f>
        <v>0</v>
      </c>
      <c r="W48" s="73">
        <f t="shared" si="26"/>
        <v>0</v>
      </c>
      <c r="X48" s="73">
        <f t="shared" si="26"/>
        <v>0</v>
      </c>
      <c r="Y48" s="73">
        <f t="shared" si="26"/>
        <v>1659306.0000000002</v>
      </c>
      <c r="Z48" s="73">
        <f t="shared" si="26"/>
        <v>0</v>
      </c>
      <c r="AA48" s="73">
        <f t="shared" si="26"/>
        <v>0</v>
      </c>
      <c r="AB48" s="73"/>
      <c r="AC48" s="73"/>
      <c r="AD48" s="73"/>
      <c r="AE48" s="73"/>
      <c r="AF48" s="73"/>
      <c r="AG48" s="244">
        <f t="shared" si="19"/>
        <v>1659306.0000000002</v>
      </c>
    </row>
    <row r="49" spans="1:33" s="15" customFormat="1" ht="20.100000000000001" customHeight="1">
      <c r="A49" s="473"/>
      <c r="B49" s="371" t="s">
        <v>229</v>
      </c>
      <c r="C49" s="92" t="s">
        <v>5</v>
      </c>
      <c r="D49" s="253"/>
      <c r="E49" s="252"/>
      <c r="F49" s="117"/>
      <c r="G49" s="73"/>
      <c r="H49" s="73"/>
      <c r="I49" s="73"/>
      <c r="J49" s="73"/>
      <c r="K49" s="73"/>
      <c r="L49" s="245"/>
      <c r="M49" s="73"/>
      <c r="N49" s="73"/>
      <c r="O49" s="73"/>
      <c r="P49" s="117"/>
      <c r="Q49" s="117"/>
      <c r="R49" s="117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244">
        <f t="shared" si="19"/>
        <v>0</v>
      </c>
    </row>
    <row r="50" spans="1:33" s="15" customFormat="1" ht="20.100000000000001" customHeight="1">
      <c r="A50" s="473"/>
      <c r="B50" s="372"/>
      <c r="C50" s="187" t="s">
        <v>6</v>
      </c>
      <c r="D50" s="253"/>
      <c r="E50" s="252"/>
      <c r="F50" s="117"/>
      <c r="G50" s="73"/>
      <c r="H50" s="73"/>
      <c r="I50" s="73"/>
      <c r="J50" s="73"/>
      <c r="K50" s="73"/>
      <c r="L50" s="245"/>
      <c r="M50" s="73"/>
      <c r="N50" s="73"/>
      <c r="O50" s="73"/>
      <c r="P50" s="117"/>
      <c r="Q50" s="117"/>
      <c r="R50" s="117"/>
      <c r="S50" s="73"/>
      <c r="T50" s="73"/>
      <c r="U50" s="73"/>
      <c r="V50" s="73">
        <f t="shared" ref="V50:AA50" si="27">V49*1.1</f>
        <v>0</v>
      </c>
      <c r="W50" s="73">
        <f t="shared" si="27"/>
        <v>0</v>
      </c>
      <c r="X50" s="73">
        <f t="shared" si="27"/>
        <v>0</v>
      </c>
      <c r="Y50" s="73">
        <f t="shared" si="27"/>
        <v>0</v>
      </c>
      <c r="Z50" s="73">
        <f t="shared" si="27"/>
        <v>0</v>
      </c>
      <c r="AA50" s="73">
        <f t="shared" si="27"/>
        <v>0</v>
      </c>
      <c r="AB50" s="73"/>
      <c r="AC50" s="73"/>
      <c r="AD50" s="73"/>
      <c r="AE50" s="73"/>
      <c r="AF50" s="73"/>
      <c r="AG50" s="244">
        <f t="shared" si="19"/>
        <v>0</v>
      </c>
    </row>
    <row r="51" spans="1:33" s="15" customFormat="1" ht="20.100000000000001" customHeight="1">
      <c r="A51" s="473"/>
      <c r="B51" s="442" t="s">
        <v>106</v>
      </c>
      <c r="C51" s="92" t="s">
        <v>5</v>
      </c>
      <c r="D51" s="73"/>
      <c r="E51" s="73"/>
      <c r="F51" s="117"/>
      <c r="G51" s="73"/>
      <c r="H51" s="73"/>
      <c r="I51" s="73"/>
      <c r="J51" s="73"/>
      <c r="K51" s="73"/>
      <c r="L51" s="245"/>
      <c r="M51" s="73"/>
      <c r="N51" s="73"/>
      <c r="O51" s="73"/>
      <c r="P51" s="117"/>
      <c r="Q51" s="117"/>
      <c r="R51" s="117"/>
      <c r="S51" s="73"/>
      <c r="T51" s="73"/>
      <c r="U51" s="73"/>
      <c r="V51" s="73">
        <v>20310</v>
      </c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244">
        <f t="shared" si="19"/>
        <v>20310</v>
      </c>
    </row>
    <row r="52" spans="1:33" s="15" customFormat="1" ht="20.100000000000001" customHeight="1">
      <c r="A52" s="473"/>
      <c r="B52" s="442"/>
      <c r="C52" s="92" t="s">
        <v>6</v>
      </c>
      <c r="D52" s="73"/>
      <c r="E52" s="73"/>
      <c r="F52" s="117"/>
      <c r="G52" s="73"/>
      <c r="H52" s="73"/>
      <c r="I52" s="73"/>
      <c r="J52" s="73"/>
      <c r="K52" s="73"/>
      <c r="L52" s="245"/>
      <c r="M52" s="73"/>
      <c r="N52" s="73"/>
      <c r="O52" s="73"/>
      <c r="P52" s="117">
        <f>P51*1.1</f>
        <v>0</v>
      </c>
      <c r="Q52" s="117"/>
      <c r="R52" s="117"/>
      <c r="S52" s="73"/>
      <c r="T52" s="73"/>
      <c r="U52" s="73"/>
      <c r="V52" s="73">
        <f>V51*1.1</f>
        <v>22341</v>
      </c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244">
        <f t="shared" si="19"/>
        <v>22341</v>
      </c>
    </row>
    <row r="53" spans="1:33" s="15" customFormat="1" ht="20.100000000000001" customHeight="1">
      <c r="A53" s="473"/>
      <c r="B53" s="442" t="s">
        <v>107</v>
      </c>
      <c r="C53" s="92" t="s">
        <v>5</v>
      </c>
      <c r="D53" s="73"/>
      <c r="E53" s="73"/>
      <c r="F53" s="117"/>
      <c r="G53" s="73"/>
      <c r="H53" s="73"/>
      <c r="I53" s="306">
        <v>158316</v>
      </c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244">
        <f t="shared" si="19"/>
        <v>158316</v>
      </c>
    </row>
    <row r="54" spans="1:33" s="15" customFormat="1" ht="20.100000000000001" customHeight="1">
      <c r="A54" s="473"/>
      <c r="B54" s="442"/>
      <c r="C54" s="92" t="s">
        <v>6</v>
      </c>
      <c r="D54" s="254"/>
      <c r="E54" s="255"/>
      <c r="F54" s="117"/>
      <c r="G54" s="73"/>
      <c r="H54" s="73"/>
      <c r="I54" s="306">
        <f>I53*1.1-1</f>
        <v>174146.6</v>
      </c>
      <c r="J54" s="73"/>
      <c r="K54" s="73">
        <f>K53*1.1</f>
        <v>0</v>
      </c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244">
        <f t="shared" si="19"/>
        <v>174146.6</v>
      </c>
    </row>
    <row r="55" spans="1:33" s="15" customFormat="1" ht="20.100000000000001" customHeight="1">
      <c r="A55" s="473"/>
      <c r="B55" s="442" t="s">
        <v>108</v>
      </c>
      <c r="C55" s="92" t="s">
        <v>5</v>
      </c>
      <c r="D55" s="256">
        <v>384000</v>
      </c>
      <c r="E55" s="257"/>
      <c r="F55" s="117"/>
      <c r="G55" s="73"/>
      <c r="H55" s="73"/>
      <c r="I55" s="306">
        <v>384000</v>
      </c>
      <c r="J55" s="73"/>
      <c r="K55" s="73"/>
      <c r="L55" s="73">
        <f t="shared" ref="L55:AF55" si="28">L53*1.1</f>
        <v>0</v>
      </c>
      <c r="M55" s="73">
        <f t="shared" si="28"/>
        <v>0</v>
      </c>
      <c r="N55" s="73"/>
      <c r="O55" s="73">
        <f t="shared" si="28"/>
        <v>0</v>
      </c>
      <c r="P55" s="73">
        <f t="shared" si="28"/>
        <v>0</v>
      </c>
      <c r="Q55" s="73">
        <f t="shared" si="28"/>
        <v>0</v>
      </c>
      <c r="R55" s="73"/>
      <c r="S55" s="73">
        <f t="shared" si="28"/>
        <v>0</v>
      </c>
      <c r="T55" s="73">
        <v>92160</v>
      </c>
      <c r="U55" s="73"/>
      <c r="V55" s="73">
        <f t="shared" si="28"/>
        <v>0</v>
      </c>
      <c r="W55" s="73">
        <f t="shared" si="28"/>
        <v>0</v>
      </c>
      <c r="X55" s="73"/>
      <c r="Y55" s="73"/>
      <c r="Z55" s="73">
        <f t="shared" si="28"/>
        <v>0</v>
      </c>
      <c r="AA55" s="73">
        <f t="shared" si="28"/>
        <v>0</v>
      </c>
      <c r="AB55" s="73"/>
      <c r="AC55" s="73">
        <f t="shared" si="28"/>
        <v>0</v>
      </c>
      <c r="AD55" s="73">
        <f t="shared" si="28"/>
        <v>0</v>
      </c>
      <c r="AE55" s="73">
        <f t="shared" si="28"/>
        <v>0</v>
      </c>
      <c r="AF55" s="73">
        <f t="shared" si="28"/>
        <v>0</v>
      </c>
      <c r="AG55" s="244">
        <f t="shared" si="19"/>
        <v>860160</v>
      </c>
    </row>
    <row r="56" spans="1:33" s="15" customFormat="1" ht="20.100000000000001" customHeight="1">
      <c r="A56" s="473"/>
      <c r="B56" s="442"/>
      <c r="C56" s="92" t="s">
        <v>6</v>
      </c>
      <c r="D56" s="256">
        <f>D55*1.1</f>
        <v>422400.00000000006</v>
      </c>
      <c r="E56" s="257"/>
      <c r="F56" s="117"/>
      <c r="G56" s="73"/>
      <c r="H56" s="73"/>
      <c r="I56" s="306">
        <f>I55*1.1</f>
        <v>422400.00000000006</v>
      </c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>
        <f>T55*1.1</f>
        <v>101376.00000000001</v>
      </c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244">
        <f t="shared" si="19"/>
        <v>946176.00000000012</v>
      </c>
    </row>
    <row r="57" spans="1:33" s="15" customFormat="1" ht="20.100000000000001" customHeight="1">
      <c r="A57" s="473"/>
      <c r="B57" s="442" t="s">
        <v>109</v>
      </c>
      <c r="C57" s="92" t="s">
        <v>5</v>
      </c>
      <c r="D57" s="258"/>
      <c r="E57" s="257"/>
      <c r="F57" s="117"/>
      <c r="G57" s="73"/>
      <c r="H57" s="73"/>
      <c r="I57" s="306">
        <v>14400</v>
      </c>
      <c r="J57" s="73"/>
      <c r="K57" s="73"/>
      <c r="L57" s="73"/>
      <c r="M57" s="73"/>
      <c r="N57" s="73"/>
      <c r="O57" s="73"/>
      <c r="P57" s="73"/>
      <c r="Q57" s="73">
        <v>7200</v>
      </c>
      <c r="R57" s="73">
        <v>57600</v>
      </c>
      <c r="S57" s="73"/>
      <c r="T57" s="73"/>
      <c r="U57" s="73"/>
      <c r="V57" s="73">
        <v>72000</v>
      </c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244">
        <f t="shared" si="19"/>
        <v>151200</v>
      </c>
    </row>
    <row r="58" spans="1:33" s="15" customFormat="1" ht="20.100000000000001" customHeight="1">
      <c r="A58" s="473"/>
      <c r="B58" s="442"/>
      <c r="C58" s="92" t="s">
        <v>6</v>
      </c>
      <c r="D58" s="258"/>
      <c r="E58" s="257"/>
      <c r="F58" s="117">
        <f>F57*1.1</f>
        <v>0</v>
      </c>
      <c r="G58" s="117">
        <f>G57*1.1</f>
        <v>0</v>
      </c>
      <c r="H58" s="73"/>
      <c r="I58" s="306">
        <f>I57*1.1</f>
        <v>15840.000000000002</v>
      </c>
      <c r="J58" s="73"/>
      <c r="K58" s="73">
        <f>K57*1.1</f>
        <v>0</v>
      </c>
      <c r="L58" s="73">
        <f t="shared" ref="L58:V58" si="29">L57*1.1</f>
        <v>0</v>
      </c>
      <c r="M58" s="73">
        <f t="shared" si="29"/>
        <v>0</v>
      </c>
      <c r="N58" s="73"/>
      <c r="O58" s="73">
        <f t="shared" si="29"/>
        <v>0</v>
      </c>
      <c r="P58" s="73">
        <f t="shared" si="29"/>
        <v>0</v>
      </c>
      <c r="Q58" s="73">
        <f t="shared" si="29"/>
        <v>7920.0000000000009</v>
      </c>
      <c r="R58" s="73">
        <f t="shared" si="29"/>
        <v>63360.000000000007</v>
      </c>
      <c r="S58" s="73">
        <f t="shared" si="29"/>
        <v>0</v>
      </c>
      <c r="T58" s="73">
        <f t="shared" si="29"/>
        <v>0</v>
      </c>
      <c r="U58" s="73"/>
      <c r="V58" s="306">
        <f t="shared" si="29"/>
        <v>79200</v>
      </c>
      <c r="W58" s="73">
        <f>W57*1.1</f>
        <v>0</v>
      </c>
      <c r="X58" s="73"/>
      <c r="Y58" s="73"/>
      <c r="Z58" s="73">
        <f t="shared" ref="Z58:AF58" si="30">Z57*1.1</f>
        <v>0</v>
      </c>
      <c r="AA58" s="73">
        <f t="shared" si="30"/>
        <v>0</v>
      </c>
      <c r="AB58" s="73"/>
      <c r="AC58" s="73">
        <f t="shared" si="30"/>
        <v>0</v>
      </c>
      <c r="AD58" s="73">
        <f t="shared" si="30"/>
        <v>0</v>
      </c>
      <c r="AE58" s="73">
        <f t="shared" si="30"/>
        <v>0</v>
      </c>
      <c r="AF58" s="73">
        <f t="shared" si="30"/>
        <v>0</v>
      </c>
      <c r="AG58" s="244">
        <f t="shared" si="19"/>
        <v>166320</v>
      </c>
    </row>
    <row r="59" spans="1:33" s="15" customFormat="1" ht="20.100000000000001" customHeight="1">
      <c r="A59" s="473"/>
      <c r="B59" s="442" t="s">
        <v>110</v>
      </c>
      <c r="C59" s="92" t="s">
        <v>5</v>
      </c>
      <c r="D59" s="259">
        <v>275100</v>
      </c>
      <c r="E59" s="260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>
        <f>9675+700</f>
        <v>10375</v>
      </c>
      <c r="Q59" s="73"/>
      <c r="R59" s="73"/>
      <c r="S59" s="73"/>
      <c r="T59" s="73">
        <v>820600</v>
      </c>
      <c r="U59" s="73"/>
      <c r="V59" s="73">
        <v>294000</v>
      </c>
      <c r="W59" s="73"/>
      <c r="X59" s="73"/>
      <c r="Y59" s="73"/>
      <c r="Z59" s="73"/>
      <c r="AA59" s="73"/>
      <c r="AB59" s="73"/>
      <c r="AC59" s="73">
        <v>210000</v>
      </c>
      <c r="AD59" s="73"/>
      <c r="AE59" s="73"/>
      <c r="AF59" s="73"/>
      <c r="AG59" s="244">
        <f t="shared" si="19"/>
        <v>1610075</v>
      </c>
    </row>
    <row r="60" spans="1:33" s="15" customFormat="1" ht="20.100000000000001" customHeight="1">
      <c r="A60" s="473"/>
      <c r="B60" s="442"/>
      <c r="C60" s="92" t="s">
        <v>6</v>
      </c>
      <c r="D60" s="117">
        <f>D59*1.1</f>
        <v>302610</v>
      </c>
      <c r="E60" s="73">
        <f>E59*1.1</f>
        <v>0</v>
      </c>
      <c r="F60" s="73"/>
      <c r="G60" s="73">
        <f>G59*1.1</f>
        <v>0</v>
      </c>
      <c r="H60" s="73">
        <f>H59*1.1</f>
        <v>0</v>
      </c>
      <c r="I60" s="73"/>
      <c r="J60" s="73"/>
      <c r="K60" s="73">
        <f>K59*1.1</f>
        <v>0</v>
      </c>
      <c r="L60" s="73">
        <f t="shared" ref="L60:X60" si="31">L59*1.1</f>
        <v>0</v>
      </c>
      <c r="M60" s="73">
        <f t="shared" si="31"/>
        <v>0</v>
      </c>
      <c r="N60" s="73"/>
      <c r="O60" s="73">
        <f t="shared" si="31"/>
        <v>0</v>
      </c>
      <c r="P60" s="73">
        <f>P59*1.1-1</f>
        <v>11411.500000000002</v>
      </c>
      <c r="Q60" s="73">
        <f t="shared" si="31"/>
        <v>0</v>
      </c>
      <c r="R60" s="73"/>
      <c r="S60" s="73">
        <f t="shared" si="31"/>
        <v>0</v>
      </c>
      <c r="T60" s="73">
        <f t="shared" si="31"/>
        <v>902660.00000000012</v>
      </c>
      <c r="U60" s="73"/>
      <c r="V60" s="306">
        <f t="shared" si="31"/>
        <v>323400</v>
      </c>
      <c r="W60" s="73">
        <f t="shared" si="31"/>
        <v>0</v>
      </c>
      <c r="X60" s="73">
        <f t="shared" si="31"/>
        <v>0</v>
      </c>
      <c r="Y60" s="73"/>
      <c r="Z60" s="73">
        <f t="shared" ref="Z60:AF60" si="32">Z59*1.1</f>
        <v>0</v>
      </c>
      <c r="AA60" s="73">
        <f t="shared" si="32"/>
        <v>0</v>
      </c>
      <c r="AB60" s="73"/>
      <c r="AC60" s="73">
        <f t="shared" si="32"/>
        <v>231000.00000000003</v>
      </c>
      <c r="AD60" s="73">
        <f t="shared" si="32"/>
        <v>0</v>
      </c>
      <c r="AE60" s="73">
        <f t="shared" si="32"/>
        <v>0</v>
      </c>
      <c r="AF60" s="73">
        <f t="shared" si="32"/>
        <v>0</v>
      </c>
      <c r="AG60" s="244">
        <f t="shared" si="19"/>
        <v>1771081.5</v>
      </c>
    </row>
    <row r="61" spans="1:33" s="15" customFormat="1" ht="20.100000000000001" customHeight="1">
      <c r="A61" s="473"/>
      <c r="B61" s="442" t="s">
        <v>111</v>
      </c>
      <c r="C61" s="92" t="s">
        <v>5</v>
      </c>
      <c r="D61" s="117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252"/>
      <c r="AB61" s="252"/>
      <c r="AC61" s="252"/>
      <c r="AD61" s="73"/>
      <c r="AE61" s="73">
        <v>45120</v>
      </c>
      <c r="AF61" s="73"/>
      <c r="AG61" s="244">
        <f t="shared" si="19"/>
        <v>45120</v>
      </c>
    </row>
    <row r="62" spans="1:33" s="15" customFormat="1" ht="20.100000000000001" customHeight="1">
      <c r="A62" s="473"/>
      <c r="B62" s="442"/>
      <c r="C62" s="92" t="s">
        <v>6</v>
      </c>
      <c r="D62" s="117">
        <f>D61*1.1</f>
        <v>0</v>
      </c>
      <c r="E62" s="73">
        <f>E61*1.1</f>
        <v>0</v>
      </c>
      <c r="F62" s="73">
        <f>F61*1.1</f>
        <v>0</v>
      </c>
      <c r="G62" s="73"/>
      <c r="H62" s="73">
        <f>H61*1.1</f>
        <v>0</v>
      </c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252"/>
      <c r="AB62" s="252"/>
      <c r="AC62" s="252"/>
      <c r="AD62" s="73"/>
      <c r="AE62" s="73">
        <f>AE61*1.1</f>
        <v>49632.000000000007</v>
      </c>
      <c r="AF62" s="73"/>
      <c r="AG62" s="244">
        <f t="shared" si="19"/>
        <v>49632.000000000007</v>
      </c>
    </row>
    <row r="63" spans="1:33" s="15" customFormat="1" ht="20.100000000000001" customHeight="1">
      <c r="A63" s="473"/>
      <c r="B63" s="442" t="s">
        <v>112</v>
      </c>
      <c r="C63" s="92" t="s">
        <v>5</v>
      </c>
      <c r="D63" s="117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252"/>
      <c r="AB63" s="252"/>
      <c r="AC63" s="252"/>
      <c r="AD63" s="73"/>
      <c r="AE63" s="73"/>
      <c r="AF63" s="73"/>
      <c r="AG63" s="244">
        <f t="shared" si="19"/>
        <v>0</v>
      </c>
    </row>
    <row r="64" spans="1:33" s="15" customFormat="1" ht="20.100000000000001" customHeight="1">
      <c r="A64" s="473"/>
      <c r="B64" s="442"/>
      <c r="C64" s="92" t="s">
        <v>6</v>
      </c>
      <c r="D64" s="117">
        <f>D63*1.1</f>
        <v>0</v>
      </c>
      <c r="E64" s="73">
        <f>E63*1.1</f>
        <v>0</v>
      </c>
      <c r="F64" s="73">
        <f>F63*1.1</f>
        <v>0</v>
      </c>
      <c r="G64" s="73"/>
      <c r="H64" s="73">
        <f>H63*1.1</f>
        <v>0</v>
      </c>
      <c r="I64" s="73"/>
      <c r="J64" s="73"/>
      <c r="K64" s="73">
        <f t="shared" ref="K64:Q64" si="33">K63*1.1</f>
        <v>0</v>
      </c>
      <c r="L64" s="73">
        <f t="shared" si="33"/>
        <v>0</v>
      </c>
      <c r="M64" s="73">
        <f t="shared" si="33"/>
        <v>0</v>
      </c>
      <c r="N64" s="73"/>
      <c r="O64" s="73">
        <f t="shared" si="33"/>
        <v>0</v>
      </c>
      <c r="P64" s="73">
        <f t="shared" si="33"/>
        <v>0</v>
      </c>
      <c r="Q64" s="73">
        <f t="shared" si="33"/>
        <v>0</v>
      </c>
      <c r="R64" s="73"/>
      <c r="S64" s="73"/>
      <c r="T64" s="73"/>
      <c r="U64" s="73"/>
      <c r="V64" s="73"/>
      <c r="W64" s="73">
        <f>W63*1.1</f>
        <v>0</v>
      </c>
      <c r="X64" s="73"/>
      <c r="Y64" s="73"/>
      <c r="Z64" s="73">
        <f t="shared" ref="Z64:AF64" si="34">Z63*1.1</f>
        <v>0</v>
      </c>
      <c r="AA64" s="73">
        <f t="shared" si="34"/>
        <v>0</v>
      </c>
      <c r="AB64" s="73"/>
      <c r="AC64" s="73">
        <f t="shared" si="34"/>
        <v>0</v>
      </c>
      <c r="AD64" s="73">
        <f t="shared" si="34"/>
        <v>0</v>
      </c>
      <c r="AE64" s="73">
        <f t="shared" si="34"/>
        <v>0</v>
      </c>
      <c r="AF64" s="73">
        <f t="shared" si="34"/>
        <v>0</v>
      </c>
      <c r="AG64" s="244">
        <f t="shared" si="19"/>
        <v>0</v>
      </c>
    </row>
    <row r="65" spans="1:35" s="15" customFormat="1" ht="20.100000000000001" customHeight="1">
      <c r="A65" s="473"/>
      <c r="B65" s="442" t="s">
        <v>113</v>
      </c>
      <c r="C65" s="92" t="s">
        <v>5</v>
      </c>
      <c r="D65" s="117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>
        <v>29940</v>
      </c>
      <c r="S65" s="73"/>
      <c r="T65" s="73">
        <v>44910</v>
      </c>
      <c r="U65" s="73"/>
      <c r="V65" s="73"/>
      <c r="W65" s="73"/>
      <c r="X65" s="73"/>
      <c r="Y65" s="73"/>
      <c r="Z65" s="73"/>
      <c r="AA65" s="252"/>
      <c r="AB65" s="252"/>
      <c r="AC65" s="252"/>
      <c r="AD65" s="73"/>
      <c r="AE65" s="73"/>
      <c r="AF65" s="73"/>
      <c r="AG65" s="244">
        <f t="shared" si="19"/>
        <v>74850</v>
      </c>
    </row>
    <row r="66" spans="1:35" s="15" customFormat="1" ht="20.100000000000001" customHeight="1">
      <c r="A66" s="473"/>
      <c r="B66" s="442"/>
      <c r="C66" s="92" t="s">
        <v>6</v>
      </c>
      <c r="D66" s="117"/>
      <c r="E66" s="73"/>
      <c r="F66" s="73"/>
      <c r="G66" s="73"/>
      <c r="H66" s="73">
        <f>H65*1.1</f>
        <v>0</v>
      </c>
      <c r="I66" s="73"/>
      <c r="J66" s="73"/>
      <c r="K66" s="73"/>
      <c r="L66" s="73"/>
      <c r="M66" s="73"/>
      <c r="N66" s="73"/>
      <c r="O66" s="73"/>
      <c r="P66" s="73"/>
      <c r="Q66" s="73"/>
      <c r="R66" s="73">
        <f>R65*1.1</f>
        <v>32934</v>
      </c>
      <c r="S66" s="73"/>
      <c r="T66" s="73">
        <f>T65*1.1</f>
        <v>49401.000000000007</v>
      </c>
      <c r="U66" s="73"/>
      <c r="V66" s="73"/>
      <c r="W66" s="73"/>
      <c r="X66" s="73"/>
      <c r="Y66" s="73"/>
      <c r="Z66" s="73"/>
      <c r="AA66" s="252"/>
      <c r="AB66" s="252"/>
      <c r="AC66" s="252"/>
      <c r="AD66" s="73"/>
      <c r="AE66" s="73"/>
      <c r="AF66" s="73"/>
      <c r="AG66" s="244">
        <f t="shared" si="19"/>
        <v>82335</v>
      </c>
    </row>
    <row r="67" spans="1:35" s="15" customFormat="1" ht="20.100000000000001" customHeight="1">
      <c r="A67" s="473"/>
      <c r="B67" s="442" t="s">
        <v>26</v>
      </c>
      <c r="C67" s="92" t="s">
        <v>5</v>
      </c>
      <c r="D67" s="117">
        <v>222000</v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>
        <v>253440</v>
      </c>
      <c r="S67" s="73"/>
      <c r="T67" s="73"/>
      <c r="U67" s="73"/>
      <c r="V67" s="73"/>
      <c r="W67" s="73"/>
      <c r="X67" s="73"/>
      <c r="Y67" s="73"/>
      <c r="Z67" s="73"/>
      <c r="AA67" s="252"/>
      <c r="AB67" s="252"/>
      <c r="AC67" s="252"/>
      <c r="AD67" s="73"/>
      <c r="AE67" s="73"/>
      <c r="AF67" s="73"/>
      <c r="AG67" s="244">
        <f t="shared" ref="AG67:AG96" si="35">SUM(D67:AF67)</f>
        <v>475440</v>
      </c>
    </row>
    <row r="68" spans="1:35" s="15" customFormat="1" ht="20.100000000000001" customHeight="1">
      <c r="A68" s="473"/>
      <c r="B68" s="442"/>
      <c r="C68" s="92" t="s">
        <v>6</v>
      </c>
      <c r="D68" s="117">
        <f>D67*1.1</f>
        <v>244200.00000000003</v>
      </c>
      <c r="E68" s="73">
        <f>E67*1.1</f>
        <v>0</v>
      </c>
      <c r="F68" s="73">
        <f>F67*1.1</f>
        <v>0</v>
      </c>
      <c r="G68" s="73"/>
      <c r="H68" s="73"/>
      <c r="I68" s="73"/>
      <c r="J68" s="73"/>
      <c r="K68" s="73">
        <f>K67*1.1</f>
        <v>0</v>
      </c>
      <c r="L68" s="73">
        <f t="shared" ref="L68:W68" si="36">L67*1.1</f>
        <v>0</v>
      </c>
      <c r="M68" s="73">
        <f t="shared" si="36"/>
        <v>0</v>
      </c>
      <c r="N68" s="73"/>
      <c r="O68" s="73">
        <f t="shared" si="36"/>
        <v>0</v>
      </c>
      <c r="P68" s="73">
        <f t="shared" si="36"/>
        <v>0</v>
      </c>
      <c r="Q68" s="73">
        <f t="shared" si="36"/>
        <v>0</v>
      </c>
      <c r="R68" s="73">
        <f t="shared" si="36"/>
        <v>278784</v>
      </c>
      <c r="S68" s="73">
        <f t="shared" si="36"/>
        <v>0</v>
      </c>
      <c r="T68" s="73">
        <f t="shared" si="36"/>
        <v>0</v>
      </c>
      <c r="U68" s="73"/>
      <c r="V68" s="73">
        <f t="shared" si="36"/>
        <v>0</v>
      </c>
      <c r="W68" s="73">
        <f t="shared" si="36"/>
        <v>0</v>
      </c>
      <c r="X68" s="73"/>
      <c r="Y68" s="73"/>
      <c r="Z68" s="73"/>
      <c r="AA68" s="252">
        <f>AA67*1.1</f>
        <v>0</v>
      </c>
      <c r="AB68" s="252"/>
      <c r="AC68" s="252"/>
      <c r="AD68" s="73"/>
      <c r="AE68" s="73"/>
      <c r="AF68" s="73"/>
      <c r="AG68" s="244">
        <f t="shared" si="35"/>
        <v>522984</v>
      </c>
    </row>
    <row r="69" spans="1:35" s="15" customFormat="1" ht="20.100000000000001" customHeight="1">
      <c r="A69" s="473"/>
      <c r="B69" s="442" t="s">
        <v>114</v>
      </c>
      <c r="C69" s="92" t="s">
        <v>5</v>
      </c>
      <c r="D69" s="117">
        <v>150600</v>
      </c>
      <c r="E69" s="73"/>
      <c r="F69" s="73"/>
      <c r="G69" s="73"/>
      <c r="H69" s="73"/>
      <c r="I69" s="306">
        <v>177180</v>
      </c>
      <c r="J69" s="73"/>
      <c r="K69" s="73"/>
      <c r="L69" s="73"/>
      <c r="M69" s="73"/>
      <c r="N69" s="73"/>
      <c r="O69" s="73"/>
      <c r="P69" s="73"/>
      <c r="Q69" s="73"/>
      <c r="R69" s="73">
        <v>80640</v>
      </c>
      <c r="S69" s="73"/>
      <c r="T69" s="73">
        <v>58000</v>
      </c>
      <c r="U69" s="73"/>
      <c r="V69" s="73">
        <v>28000</v>
      </c>
      <c r="W69" s="73"/>
      <c r="X69" s="73"/>
      <c r="Y69" s="73"/>
      <c r="Z69" s="73"/>
      <c r="AA69" s="252"/>
      <c r="AB69" s="252"/>
      <c r="AC69" s="252">
        <v>21120</v>
      </c>
      <c r="AD69" s="73"/>
      <c r="AE69" s="73"/>
      <c r="AF69" s="73"/>
      <c r="AG69" s="244">
        <f t="shared" si="35"/>
        <v>515540</v>
      </c>
    </row>
    <row r="70" spans="1:35" s="15" customFormat="1" ht="20.100000000000001" customHeight="1">
      <c r="A70" s="473"/>
      <c r="B70" s="442"/>
      <c r="C70" s="92" t="s">
        <v>6</v>
      </c>
      <c r="D70" s="117">
        <f>D69*1.1</f>
        <v>165660</v>
      </c>
      <c r="E70" s="73"/>
      <c r="F70" s="73"/>
      <c r="G70" s="73"/>
      <c r="H70" s="73"/>
      <c r="I70" s="306">
        <f>(63360*1.08)+(113820*1.1)</f>
        <v>193630.80000000002</v>
      </c>
      <c r="J70" s="73"/>
      <c r="K70" s="73">
        <f>K69*1.1</f>
        <v>0</v>
      </c>
      <c r="L70" s="73">
        <f t="shared" ref="L70:Q70" si="37">L69*1.1</f>
        <v>0</v>
      </c>
      <c r="M70" s="73">
        <f t="shared" si="37"/>
        <v>0</v>
      </c>
      <c r="N70" s="73"/>
      <c r="O70" s="73">
        <f t="shared" si="37"/>
        <v>0</v>
      </c>
      <c r="P70" s="73">
        <f t="shared" si="37"/>
        <v>0</v>
      </c>
      <c r="Q70" s="73">
        <f t="shared" si="37"/>
        <v>0</v>
      </c>
      <c r="R70" s="73">
        <f>R69*1.1</f>
        <v>88704</v>
      </c>
      <c r="S70" s="73">
        <f>S69*1.08</f>
        <v>0</v>
      </c>
      <c r="T70" s="73">
        <f t="shared" ref="T70:Y70" si="38">T69*1.08</f>
        <v>62640.000000000007</v>
      </c>
      <c r="U70" s="73"/>
      <c r="V70" s="306">
        <f>V69*1.1</f>
        <v>30800.000000000004</v>
      </c>
      <c r="W70" s="73">
        <f t="shared" si="38"/>
        <v>0</v>
      </c>
      <c r="X70" s="73">
        <f t="shared" si="38"/>
        <v>0</v>
      </c>
      <c r="Y70" s="73">
        <f t="shared" si="38"/>
        <v>0</v>
      </c>
      <c r="Z70" s="73">
        <f>Z69*1.1</f>
        <v>0</v>
      </c>
      <c r="AA70" s="73">
        <f>AA69*1.1</f>
        <v>0</v>
      </c>
      <c r="AB70" s="73"/>
      <c r="AC70" s="73">
        <f>AC69*1.08</f>
        <v>22809.600000000002</v>
      </c>
      <c r="AD70" s="73"/>
      <c r="AE70" s="73"/>
      <c r="AF70" s="73"/>
      <c r="AG70" s="244">
        <f t="shared" si="35"/>
        <v>564244.4</v>
      </c>
    </row>
    <row r="71" spans="1:35" s="15" customFormat="1" ht="20.100000000000001" customHeight="1">
      <c r="A71" s="473"/>
      <c r="B71" s="442" t="s">
        <v>133</v>
      </c>
      <c r="C71" s="92" t="s">
        <v>5</v>
      </c>
      <c r="D71" s="117">
        <v>195888</v>
      </c>
      <c r="E71" s="73"/>
      <c r="F71" s="73">
        <v>0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>
        <v>106848</v>
      </c>
      <c r="W71" s="73"/>
      <c r="X71" s="73"/>
      <c r="Y71" s="73"/>
      <c r="Z71" s="73"/>
      <c r="AA71" s="252"/>
      <c r="AB71" s="252"/>
      <c r="AC71" s="252"/>
      <c r="AD71" s="73"/>
      <c r="AE71" s="73"/>
      <c r="AF71" s="73"/>
      <c r="AG71" s="244">
        <f t="shared" si="35"/>
        <v>302736</v>
      </c>
    </row>
    <row r="72" spans="1:35" s="15" customFormat="1" ht="20.100000000000001" customHeight="1">
      <c r="A72" s="473"/>
      <c r="B72" s="442"/>
      <c r="C72" s="92" t="s">
        <v>6</v>
      </c>
      <c r="D72" s="117">
        <v>215476</v>
      </c>
      <c r="E72" s="73"/>
      <c r="F72" s="73">
        <f>F71*1.1</f>
        <v>0</v>
      </c>
      <c r="G72" s="73"/>
      <c r="H72" s="73"/>
      <c r="I72" s="73"/>
      <c r="J72" s="73"/>
      <c r="K72" s="73">
        <f>K71*1.1</f>
        <v>0</v>
      </c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>
        <f>V71*1.1</f>
        <v>117532.8</v>
      </c>
      <c r="W72" s="73"/>
      <c r="X72" s="73"/>
      <c r="Y72" s="73"/>
      <c r="Z72" s="73">
        <f>Z71*1.1</f>
        <v>0</v>
      </c>
      <c r="AA72" s="252">
        <f>AA71*1.1</f>
        <v>0</v>
      </c>
      <c r="AB72" s="252"/>
      <c r="AC72" s="252"/>
      <c r="AD72" s="73"/>
      <c r="AE72" s="73"/>
      <c r="AF72" s="73"/>
      <c r="AG72" s="244">
        <f t="shared" si="35"/>
        <v>333008.8</v>
      </c>
    </row>
    <row r="73" spans="1:35" s="15" customFormat="1" ht="20.100000000000001" customHeight="1">
      <c r="A73" s="473"/>
      <c r="B73" s="442" t="s">
        <v>131</v>
      </c>
      <c r="C73" s="92" t="s">
        <v>5</v>
      </c>
      <c r="D73" s="117">
        <v>199440</v>
      </c>
      <c r="E73" s="73"/>
      <c r="F73" s="73"/>
      <c r="G73" s="73"/>
      <c r="H73" s="73"/>
      <c r="I73" s="73">
        <v>108000</v>
      </c>
      <c r="J73" s="73"/>
      <c r="K73" s="73"/>
      <c r="L73" s="73"/>
      <c r="M73" s="73"/>
      <c r="N73" s="73"/>
      <c r="O73" s="73"/>
      <c r="P73" s="73"/>
      <c r="Q73" s="73">
        <v>5000</v>
      </c>
      <c r="R73" s="73">
        <v>669600</v>
      </c>
      <c r="S73" s="73"/>
      <c r="T73" s="73">
        <v>120000</v>
      </c>
      <c r="U73" s="73"/>
      <c r="V73" s="73">
        <v>99600</v>
      </c>
      <c r="W73" s="73"/>
      <c r="X73" s="73"/>
      <c r="Y73" s="73"/>
      <c r="Z73" s="73"/>
      <c r="AA73" s="252"/>
      <c r="AB73" s="252"/>
      <c r="AC73" s="252">
        <v>510000</v>
      </c>
      <c r="AD73" s="73"/>
      <c r="AE73" s="73"/>
      <c r="AF73" s="73"/>
      <c r="AG73" s="244">
        <f t="shared" si="35"/>
        <v>1711640</v>
      </c>
    </row>
    <row r="74" spans="1:35" s="15" customFormat="1" ht="20.100000000000001" customHeight="1">
      <c r="A74" s="473"/>
      <c r="B74" s="442"/>
      <c r="C74" s="92" t="s">
        <v>6</v>
      </c>
      <c r="D74" s="117">
        <f>D73*1.1</f>
        <v>219384.00000000003</v>
      </c>
      <c r="E74" s="73"/>
      <c r="F74" s="73"/>
      <c r="G74" s="73">
        <f>G73*1.1</f>
        <v>0</v>
      </c>
      <c r="H74" s="73">
        <f>H73*1.1</f>
        <v>0</v>
      </c>
      <c r="I74" s="73">
        <f>I73*1.1</f>
        <v>118800.00000000001</v>
      </c>
      <c r="J74" s="73"/>
      <c r="K74" s="73">
        <f>K73*1.1</f>
        <v>0</v>
      </c>
      <c r="L74" s="73">
        <f>L73*1.1</f>
        <v>0</v>
      </c>
      <c r="M74" s="73">
        <f>M73*1.1</f>
        <v>0</v>
      </c>
      <c r="N74" s="73"/>
      <c r="O74" s="73">
        <f t="shared" ref="O74:V74" si="39">O73*1.1</f>
        <v>0</v>
      </c>
      <c r="P74" s="73">
        <f t="shared" si="39"/>
        <v>0</v>
      </c>
      <c r="Q74" s="73">
        <f t="shared" si="39"/>
        <v>5500</v>
      </c>
      <c r="R74" s="73">
        <f t="shared" si="39"/>
        <v>736560.00000000012</v>
      </c>
      <c r="S74" s="73">
        <f t="shared" si="39"/>
        <v>0</v>
      </c>
      <c r="T74" s="73">
        <f t="shared" si="39"/>
        <v>132000</v>
      </c>
      <c r="U74" s="73"/>
      <c r="V74" s="73">
        <f t="shared" si="39"/>
        <v>109560.00000000001</v>
      </c>
      <c r="W74" s="73"/>
      <c r="X74" s="73"/>
      <c r="Y74" s="73"/>
      <c r="Z74" s="73"/>
      <c r="AA74" s="252"/>
      <c r="AB74" s="252"/>
      <c r="AC74" s="252">
        <f>AC73*1.1</f>
        <v>561000</v>
      </c>
      <c r="AD74" s="73"/>
      <c r="AE74" s="73"/>
      <c r="AF74" s="73"/>
      <c r="AG74" s="244">
        <f t="shared" si="35"/>
        <v>1882804.0000000002</v>
      </c>
    </row>
    <row r="75" spans="1:35" s="15" customFormat="1" ht="20.100000000000001" customHeight="1">
      <c r="A75" s="473"/>
      <c r="B75" s="442" t="s">
        <v>115</v>
      </c>
      <c r="C75" s="92" t="s">
        <v>5</v>
      </c>
      <c r="D75" s="117">
        <v>2027380</v>
      </c>
      <c r="E75" s="73">
        <f>7200+800</f>
        <v>8000</v>
      </c>
      <c r="F75" s="306">
        <f>16000+15200</f>
        <v>31200</v>
      </c>
      <c r="G75" s="306">
        <v>3200</v>
      </c>
      <c r="H75" s="306">
        <v>67200</v>
      </c>
      <c r="I75" s="306">
        <v>5675520</v>
      </c>
      <c r="J75" s="73">
        <v>139200</v>
      </c>
      <c r="K75" s="73"/>
      <c r="L75" s="73"/>
      <c r="M75" s="73"/>
      <c r="N75" s="73"/>
      <c r="O75" s="73">
        <v>62667</v>
      </c>
      <c r="P75" s="73"/>
      <c r="Q75" s="73"/>
      <c r="R75" s="73">
        <f>1345736+67200</f>
        <v>1412936</v>
      </c>
      <c r="S75" s="73"/>
      <c r="T75" s="73">
        <v>1525800</v>
      </c>
      <c r="U75" s="73"/>
      <c r="V75" s="73">
        <v>261160</v>
      </c>
      <c r="W75" s="73">
        <v>91400</v>
      </c>
      <c r="X75" s="73"/>
      <c r="Y75" s="73"/>
      <c r="Z75" s="73">
        <v>38000</v>
      </c>
      <c r="AA75" s="252">
        <v>3867</v>
      </c>
      <c r="AB75" s="252"/>
      <c r="AC75" s="252">
        <v>741840</v>
      </c>
      <c r="AD75" s="73"/>
      <c r="AE75" s="73"/>
      <c r="AF75" s="73">
        <v>12950</v>
      </c>
      <c r="AG75" s="244">
        <f t="shared" si="35"/>
        <v>12102320</v>
      </c>
      <c r="AI75" s="310"/>
    </row>
    <row r="76" spans="1:35" s="15" customFormat="1" ht="20.100000000000001" customHeight="1">
      <c r="A76" s="473"/>
      <c r="B76" s="442"/>
      <c r="C76" s="92" t="s">
        <v>6</v>
      </c>
      <c r="D76" s="117">
        <f>D75*1.1</f>
        <v>2230118</v>
      </c>
      <c r="E76" s="117">
        <f>(7200*1.08)+800*1.1</f>
        <v>8656.0000000000018</v>
      </c>
      <c r="F76" s="306">
        <f>(16000*1.08)+(15200*1.1)</f>
        <v>34000</v>
      </c>
      <c r="G76" s="306">
        <f>G75*1.1</f>
        <v>3520.0000000000005</v>
      </c>
      <c r="H76" s="306">
        <f>H75*1.08</f>
        <v>72576</v>
      </c>
      <c r="I76" s="306">
        <f>I75*1.1</f>
        <v>6243072.0000000009</v>
      </c>
      <c r="J76" s="73">
        <f>J75*1.1</f>
        <v>153120</v>
      </c>
      <c r="K76" s="73"/>
      <c r="L76" s="73"/>
      <c r="M76" s="73"/>
      <c r="N76" s="73"/>
      <c r="O76" s="73">
        <f>O75*1.1</f>
        <v>68933.700000000012</v>
      </c>
      <c r="P76" s="73"/>
      <c r="Q76" s="73"/>
      <c r="R76" s="73">
        <f>R75*1.1</f>
        <v>1554229.6</v>
      </c>
      <c r="S76" s="73">
        <f>S75*1.1</f>
        <v>0</v>
      </c>
      <c r="T76" s="73">
        <f>T75*1.1</f>
        <v>1678380.0000000002</v>
      </c>
      <c r="U76" s="73"/>
      <c r="V76" s="306">
        <f>V75*1.1</f>
        <v>287276</v>
      </c>
      <c r="W76" s="73">
        <f>(57000*1.08)+(91400-57000)*1.1</f>
        <v>99400</v>
      </c>
      <c r="X76" s="73"/>
      <c r="Y76" s="73"/>
      <c r="Z76" s="73">
        <f>Z75*1.08</f>
        <v>41040</v>
      </c>
      <c r="AA76" s="252">
        <f>AA75*1.1</f>
        <v>4253.7000000000007</v>
      </c>
      <c r="AB76" s="252"/>
      <c r="AC76" s="252">
        <f>(259920*1.08)+(481920*1.1)</f>
        <v>810825.60000000009</v>
      </c>
      <c r="AD76" s="73"/>
      <c r="AE76" s="73"/>
      <c r="AF76" s="73">
        <f>AF75*1.1</f>
        <v>14245.000000000002</v>
      </c>
      <c r="AG76" s="244">
        <f t="shared" si="35"/>
        <v>13303645.599999998</v>
      </c>
    </row>
    <row r="77" spans="1:35" s="15" customFormat="1" ht="20.100000000000001" customHeight="1">
      <c r="A77" s="473"/>
      <c r="B77" s="442" t="s">
        <v>27</v>
      </c>
      <c r="C77" s="92" t="s">
        <v>5</v>
      </c>
      <c r="D77" s="117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>
        <v>2138000</v>
      </c>
      <c r="W77" s="73"/>
      <c r="X77" s="73"/>
      <c r="Y77" s="73"/>
      <c r="Z77" s="73"/>
      <c r="AA77" s="252"/>
      <c r="AB77" s="252"/>
      <c r="AC77" s="252"/>
      <c r="AD77" s="73"/>
      <c r="AE77" s="73"/>
      <c r="AF77" s="73"/>
      <c r="AG77" s="244">
        <f t="shared" si="35"/>
        <v>2138000</v>
      </c>
    </row>
    <row r="78" spans="1:35" s="15" customFormat="1" ht="20.100000000000001" customHeight="1">
      <c r="A78" s="473"/>
      <c r="B78" s="442"/>
      <c r="C78" s="92" t="s">
        <v>6</v>
      </c>
      <c r="D78" s="117"/>
      <c r="E78" s="73"/>
      <c r="F78" s="73"/>
      <c r="G78" s="73">
        <f>G77*1.1</f>
        <v>0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306">
        <f>(2105000*1.08)+(33000*1.1)</f>
        <v>2309700</v>
      </c>
      <c r="W78" s="73"/>
      <c r="X78" s="73"/>
      <c r="Y78" s="73"/>
      <c r="Z78" s="73"/>
      <c r="AA78" s="252"/>
      <c r="AB78" s="252"/>
      <c r="AC78" s="252"/>
      <c r="AD78" s="73"/>
      <c r="AE78" s="73"/>
      <c r="AF78" s="73"/>
      <c r="AG78" s="244">
        <f t="shared" si="35"/>
        <v>2309700</v>
      </c>
    </row>
    <row r="79" spans="1:35" s="15" customFormat="1" ht="20.100000000000001" customHeight="1">
      <c r="A79" s="473"/>
      <c r="B79" s="442" t="s">
        <v>37</v>
      </c>
      <c r="C79" s="92" t="s">
        <v>5</v>
      </c>
      <c r="D79" s="117">
        <f>288000</f>
        <v>288000</v>
      </c>
      <c r="E79" s="73"/>
      <c r="F79" s="306">
        <v>3200</v>
      </c>
      <c r="G79" s="306"/>
      <c r="H79" s="306">
        <f>50400+169600</f>
        <v>220000</v>
      </c>
      <c r="I79" s="73">
        <v>384000</v>
      </c>
      <c r="J79" s="73"/>
      <c r="K79" s="73"/>
      <c r="L79" s="73"/>
      <c r="M79" s="73"/>
      <c r="N79" s="73">
        <v>392000</v>
      </c>
      <c r="O79" s="73"/>
      <c r="P79" s="73">
        <f>15200+800</f>
        <v>16000</v>
      </c>
      <c r="Q79" s="73"/>
      <c r="R79" s="73">
        <v>153600</v>
      </c>
      <c r="S79" s="73">
        <f>2400+3200+2400</f>
        <v>8000</v>
      </c>
      <c r="T79" s="73"/>
      <c r="U79" s="73">
        <v>11200</v>
      </c>
      <c r="V79" s="73">
        <v>595200</v>
      </c>
      <c r="W79" s="73"/>
      <c r="X79" s="239"/>
      <c r="Y79" s="117"/>
      <c r="Z79" s="73"/>
      <c r="AA79" s="252">
        <f>10400+2400</f>
        <v>12800</v>
      </c>
      <c r="AB79" s="252"/>
      <c r="AC79" s="252">
        <v>384000</v>
      </c>
      <c r="AD79" s="73"/>
      <c r="AE79" s="73"/>
      <c r="AF79" s="73"/>
      <c r="AG79" s="244">
        <f t="shared" si="35"/>
        <v>2468000</v>
      </c>
    </row>
    <row r="80" spans="1:35" s="15" customFormat="1" ht="20.100000000000001" customHeight="1">
      <c r="A80" s="473"/>
      <c r="B80" s="442"/>
      <c r="C80" s="187" t="s">
        <v>6</v>
      </c>
      <c r="D80" s="117">
        <f>(192000*1.08)+(96000*1.1)</f>
        <v>312960</v>
      </c>
      <c r="E80" s="117">
        <f t="shared" ref="E80:O80" si="40">E79*1.1</f>
        <v>0</v>
      </c>
      <c r="F80" s="117">
        <f t="shared" si="40"/>
        <v>3520.0000000000005</v>
      </c>
      <c r="G80" s="117">
        <f t="shared" si="40"/>
        <v>0</v>
      </c>
      <c r="H80" s="117">
        <f>(172000*1.1)+(115200*1.08)</f>
        <v>313616.00000000006</v>
      </c>
      <c r="I80" s="117">
        <f>(288000*1.1)+(96000*1.08)</f>
        <v>420480</v>
      </c>
      <c r="J80" s="117"/>
      <c r="K80" s="117">
        <f t="shared" si="40"/>
        <v>0</v>
      </c>
      <c r="L80" s="117">
        <f t="shared" si="40"/>
        <v>0</v>
      </c>
      <c r="M80" s="117">
        <f t="shared" si="40"/>
        <v>0</v>
      </c>
      <c r="N80" s="117">
        <f>(264000*1.1)+(128000*1.08)</f>
        <v>428640</v>
      </c>
      <c r="O80" s="117">
        <f t="shared" si="40"/>
        <v>0</v>
      </c>
      <c r="P80" s="117">
        <f>(12800*1.1)+3200*1.08</f>
        <v>17536</v>
      </c>
      <c r="Q80" s="117">
        <f>Q79*1.1</f>
        <v>0</v>
      </c>
      <c r="R80" s="117">
        <f>(76800*1.1+76800*1.08)</f>
        <v>167424</v>
      </c>
      <c r="S80" s="117">
        <f>S79*1.1</f>
        <v>8800</v>
      </c>
      <c r="T80" s="117"/>
      <c r="U80" s="117">
        <f>U79*1.1</f>
        <v>12320.000000000002</v>
      </c>
      <c r="V80" s="117">
        <f>(288000*1.08)+(96000+153600+57600)*1.1</f>
        <v>648960</v>
      </c>
      <c r="W80" s="117"/>
      <c r="X80" s="239"/>
      <c r="Y80" s="117"/>
      <c r="Z80" s="117"/>
      <c r="AA80" s="117">
        <f>AA79*1.1</f>
        <v>14080.000000000002</v>
      </c>
      <c r="AB80" s="253"/>
      <c r="AC80" s="252">
        <f>AC79*1.08</f>
        <v>414720</v>
      </c>
      <c r="AD80" s="73"/>
      <c r="AE80" s="73"/>
      <c r="AF80" s="73"/>
      <c r="AG80" s="244">
        <f t="shared" si="35"/>
        <v>2763056</v>
      </c>
    </row>
    <row r="81" spans="1:35" s="15" customFormat="1" ht="20.100000000000001" customHeight="1">
      <c r="A81" s="473"/>
      <c r="B81" s="464" t="s">
        <v>230</v>
      </c>
      <c r="C81" s="92" t="s">
        <v>5</v>
      </c>
      <c r="D81" s="117">
        <v>1510800</v>
      </c>
      <c r="E81" s="117"/>
      <c r="F81" s="117"/>
      <c r="G81" s="117"/>
      <c r="H81" s="117"/>
      <c r="I81" s="309">
        <v>1707840</v>
      </c>
      <c r="J81" s="117"/>
      <c r="K81" s="117"/>
      <c r="L81" s="117"/>
      <c r="M81" s="117"/>
      <c r="N81" s="117"/>
      <c r="O81" s="117"/>
      <c r="P81" s="117"/>
      <c r="Q81" s="117">
        <v>1000</v>
      </c>
      <c r="R81" s="117">
        <f>165600+710440-Q81</f>
        <v>875040</v>
      </c>
      <c r="S81" s="117"/>
      <c r="T81" s="117">
        <v>1323600</v>
      </c>
      <c r="U81" s="117"/>
      <c r="V81" s="117"/>
      <c r="W81" s="117"/>
      <c r="X81" s="117"/>
      <c r="Y81" s="117"/>
      <c r="Z81" s="117"/>
      <c r="AA81" s="253"/>
      <c r="AB81" s="253"/>
      <c r="AC81" s="252">
        <v>911400</v>
      </c>
      <c r="AD81" s="73"/>
      <c r="AE81" s="73"/>
      <c r="AF81" s="73"/>
      <c r="AG81" s="244">
        <f t="shared" si="35"/>
        <v>6329680</v>
      </c>
    </row>
    <row r="82" spans="1:35" s="15" customFormat="1" ht="20.100000000000001" customHeight="1">
      <c r="A82" s="473"/>
      <c r="B82" s="442"/>
      <c r="C82" s="92" t="s">
        <v>6</v>
      </c>
      <c r="D82" s="117">
        <f>D81*1.1</f>
        <v>1661880.0000000002</v>
      </c>
      <c r="E82" s="117"/>
      <c r="F82" s="117"/>
      <c r="G82" s="117"/>
      <c r="H82" s="117"/>
      <c r="I82" s="309">
        <f>I81*1.1</f>
        <v>1878624.0000000002</v>
      </c>
      <c r="J82" s="117"/>
      <c r="K82" s="117"/>
      <c r="L82" s="117"/>
      <c r="M82" s="117"/>
      <c r="N82" s="117"/>
      <c r="O82" s="117"/>
      <c r="P82" s="117"/>
      <c r="Q82" s="117">
        <f>Q81*1.1</f>
        <v>1100</v>
      </c>
      <c r="R82" s="117">
        <f>R81*1.1</f>
        <v>962544.00000000012</v>
      </c>
      <c r="S82" s="117">
        <f>S81*1.1</f>
        <v>0</v>
      </c>
      <c r="T82" s="117">
        <f>T81*1.1</f>
        <v>1455960.0000000002</v>
      </c>
      <c r="U82" s="117"/>
      <c r="V82" s="117">
        <f>V81*1.1</f>
        <v>0</v>
      </c>
      <c r="W82" s="117">
        <f>W81*1.1</f>
        <v>0</v>
      </c>
      <c r="X82" s="117"/>
      <c r="Y82" s="117"/>
      <c r="Z82" s="117"/>
      <c r="AA82" s="253"/>
      <c r="AB82" s="253"/>
      <c r="AC82" s="252">
        <f>AC81*1.1</f>
        <v>1002540.0000000001</v>
      </c>
      <c r="AD82" s="73"/>
      <c r="AE82" s="73"/>
      <c r="AF82" s="73"/>
      <c r="AG82" s="244">
        <f t="shared" si="35"/>
        <v>6962648.0000000009</v>
      </c>
    </row>
    <row r="83" spans="1:35" s="15" customFormat="1" ht="20.100000000000001" customHeight="1">
      <c r="A83" s="473"/>
      <c r="B83" s="464" t="s">
        <v>231</v>
      </c>
      <c r="C83" s="92" t="s">
        <v>5</v>
      </c>
      <c r="D83" s="117"/>
      <c r="E83" s="117"/>
      <c r="F83" s="117"/>
      <c r="G83" s="117"/>
      <c r="H83" s="117"/>
      <c r="I83" s="309">
        <v>27800</v>
      </c>
      <c r="J83" s="117"/>
      <c r="K83" s="117"/>
      <c r="L83" s="117"/>
      <c r="M83" s="117"/>
      <c r="N83" s="117"/>
      <c r="O83" s="117"/>
      <c r="P83" s="117"/>
      <c r="Q83" s="117"/>
      <c r="R83" s="117">
        <v>50000</v>
      </c>
      <c r="S83" s="117"/>
      <c r="T83" s="117">
        <v>64800</v>
      </c>
      <c r="U83" s="117"/>
      <c r="V83" s="117">
        <v>117450</v>
      </c>
      <c r="W83" s="117"/>
      <c r="X83" s="117"/>
      <c r="Y83" s="117"/>
      <c r="Z83" s="117"/>
      <c r="AA83" s="253"/>
      <c r="AB83" s="253"/>
      <c r="AC83" s="252"/>
      <c r="AD83" s="73"/>
      <c r="AE83" s="73"/>
      <c r="AF83" s="73"/>
      <c r="AG83" s="244">
        <f t="shared" si="35"/>
        <v>260050</v>
      </c>
    </row>
    <row r="84" spans="1:35" s="15" customFormat="1" ht="20.100000000000001" customHeight="1">
      <c r="A84" s="473"/>
      <c r="B84" s="442"/>
      <c r="C84" s="92" t="s">
        <v>6</v>
      </c>
      <c r="D84" s="117"/>
      <c r="E84" s="117"/>
      <c r="F84" s="117"/>
      <c r="G84" s="117"/>
      <c r="H84" s="117"/>
      <c r="I84" s="309">
        <f>I83*1.1</f>
        <v>30580.000000000004</v>
      </c>
      <c r="J84" s="117"/>
      <c r="K84" s="117"/>
      <c r="L84" s="117"/>
      <c r="M84" s="117"/>
      <c r="N84" s="117"/>
      <c r="O84" s="117"/>
      <c r="P84" s="117"/>
      <c r="Q84" s="117">
        <v>0</v>
      </c>
      <c r="R84" s="117">
        <f>R83*1.1</f>
        <v>55000.000000000007</v>
      </c>
      <c r="S84" s="117">
        <f>S83*1.1</f>
        <v>0</v>
      </c>
      <c r="T84" s="117">
        <f>T83*1.1</f>
        <v>71280</v>
      </c>
      <c r="U84" s="117"/>
      <c r="V84" s="309">
        <f>V83*1.1</f>
        <v>129195.00000000001</v>
      </c>
      <c r="W84" s="117">
        <f>W83*1.1</f>
        <v>0</v>
      </c>
      <c r="X84" s="117"/>
      <c r="Y84" s="117"/>
      <c r="Z84" s="117"/>
      <c r="AA84" s="253"/>
      <c r="AB84" s="253"/>
      <c r="AC84" s="252"/>
      <c r="AD84" s="73"/>
      <c r="AE84" s="73"/>
      <c r="AF84" s="73"/>
      <c r="AG84" s="244">
        <f t="shared" si="35"/>
        <v>286055</v>
      </c>
    </row>
    <row r="85" spans="1:35" s="15" customFormat="1" ht="20.100000000000001" customHeight="1">
      <c r="A85" s="473"/>
      <c r="B85" s="464" t="s">
        <v>232</v>
      </c>
      <c r="C85" s="92" t="s">
        <v>5</v>
      </c>
      <c r="D85" s="117"/>
      <c r="E85" s="117"/>
      <c r="F85" s="117"/>
      <c r="G85" s="117"/>
      <c r="H85" s="117"/>
      <c r="I85" s="117">
        <v>80820</v>
      </c>
      <c r="J85" s="117"/>
      <c r="K85" s="117"/>
      <c r="L85" s="117"/>
      <c r="M85" s="117"/>
      <c r="N85" s="117"/>
      <c r="O85" s="117"/>
      <c r="P85" s="117"/>
      <c r="Q85" s="117">
        <v>0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253"/>
      <c r="AB85" s="253"/>
      <c r="AC85" s="253"/>
      <c r="AD85" s="73"/>
      <c r="AE85" s="73"/>
      <c r="AF85" s="73"/>
      <c r="AG85" s="244">
        <f t="shared" si="35"/>
        <v>80820</v>
      </c>
    </row>
    <row r="86" spans="1:35" s="15" customFormat="1" ht="20.100000000000001" customHeight="1">
      <c r="A86" s="473"/>
      <c r="B86" s="442"/>
      <c r="C86" s="92" t="s">
        <v>6</v>
      </c>
      <c r="D86" s="117"/>
      <c r="E86" s="117"/>
      <c r="F86" s="117"/>
      <c r="G86" s="117"/>
      <c r="H86" s="117"/>
      <c r="I86" s="117">
        <f>I85*1.1</f>
        <v>88902</v>
      </c>
      <c r="J86" s="117"/>
      <c r="K86" s="117"/>
      <c r="L86" s="117"/>
      <c r="M86" s="117"/>
      <c r="N86" s="117"/>
      <c r="O86" s="117"/>
      <c r="P86" s="117"/>
      <c r="Q86" s="117"/>
      <c r="R86" s="117"/>
      <c r="S86" s="117">
        <f>S85*1.1</f>
        <v>0</v>
      </c>
      <c r="T86" s="117"/>
      <c r="U86" s="117"/>
      <c r="V86" s="117"/>
      <c r="W86" s="117"/>
      <c r="X86" s="117"/>
      <c r="Y86" s="117"/>
      <c r="Z86" s="117">
        <f>Z85*1.1</f>
        <v>0</v>
      </c>
      <c r="AA86" s="253"/>
      <c r="AB86" s="253"/>
      <c r="AC86" s="252">
        <f>AC85*1.1</f>
        <v>0</v>
      </c>
      <c r="AD86" s="73"/>
      <c r="AE86" s="73"/>
      <c r="AF86" s="73"/>
      <c r="AG86" s="244">
        <f t="shared" si="35"/>
        <v>88902</v>
      </c>
    </row>
    <row r="87" spans="1:35" s="15" customFormat="1" ht="20.100000000000001" customHeight="1">
      <c r="A87" s="473"/>
      <c r="B87" s="465" t="s">
        <v>143</v>
      </c>
      <c r="C87" s="92" t="s">
        <v>5</v>
      </c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253"/>
      <c r="AB87" s="253"/>
      <c r="AC87" s="252"/>
      <c r="AD87" s="73"/>
      <c r="AE87" s="73"/>
      <c r="AF87" s="73"/>
      <c r="AG87" s="244">
        <f t="shared" si="35"/>
        <v>0</v>
      </c>
    </row>
    <row r="88" spans="1:35" s="15" customFormat="1" ht="20.100000000000001" customHeight="1">
      <c r="A88" s="473"/>
      <c r="B88" s="372"/>
      <c r="C88" s="92" t="s">
        <v>6</v>
      </c>
      <c r="D88" s="117"/>
      <c r="E88" s="117"/>
      <c r="F88" s="117"/>
      <c r="G88" s="117"/>
      <c r="H88" s="117"/>
      <c r="I88" s="117"/>
      <c r="J88" s="117"/>
      <c r="K88" s="117">
        <f>K87*1.1</f>
        <v>0</v>
      </c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253"/>
      <c r="AB88" s="253"/>
      <c r="AC88" s="252"/>
      <c r="AD88" s="73"/>
      <c r="AE88" s="73"/>
      <c r="AF88" s="73"/>
      <c r="AG88" s="244">
        <f t="shared" si="35"/>
        <v>0</v>
      </c>
    </row>
    <row r="89" spans="1:35" s="15" customFormat="1" ht="20.100000000000001" customHeight="1">
      <c r="A89" s="473"/>
      <c r="B89" s="371" t="s">
        <v>248</v>
      </c>
      <c r="C89" s="92" t="s">
        <v>5</v>
      </c>
      <c r="D89" s="117">
        <v>1771932</v>
      </c>
      <c r="E89" s="117"/>
      <c r="F89" s="309">
        <v>48717</v>
      </c>
      <c r="G89" s="117"/>
      <c r="H89" s="117"/>
      <c r="I89" s="117">
        <v>1376196</v>
      </c>
      <c r="J89" s="117"/>
      <c r="K89" s="117"/>
      <c r="L89" s="117"/>
      <c r="M89" s="117"/>
      <c r="N89" s="117"/>
      <c r="O89" s="117"/>
      <c r="P89" s="117"/>
      <c r="Q89" s="117"/>
      <c r="R89" s="117">
        <v>217296</v>
      </c>
      <c r="S89" s="117"/>
      <c r="T89" s="117">
        <v>198000</v>
      </c>
      <c r="U89" s="117"/>
      <c r="V89" s="117">
        <v>803880</v>
      </c>
      <c r="W89" s="117"/>
      <c r="X89" s="117"/>
      <c r="Y89" s="117"/>
      <c r="Z89" s="117"/>
      <c r="AA89" s="253"/>
      <c r="AB89" s="253"/>
      <c r="AC89" s="252">
        <v>1392600</v>
      </c>
      <c r="AD89" s="73"/>
      <c r="AE89" s="73">
        <v>4125</v>
      </c>
      <c r="AF89" s="73"/>
      <c r="AG89" s="244">
        <f t="shared" si="35"/>
        <v>5812746</v>
      </c>
      <c r="AI89" s="308" t="s">
        <v>251</v>
      </c>
    </row>
    <row r="90" spans="1:35" s="15" customFormat="1" ht="20.100000000000001" customHeight="1">
      <c r="A90" s="473"/>
      <c r="B90" s="372"/>
      <c r="C90" s="92" t="s">
        <v>6</v>
      </c>
      <c r="D90" s="117">
        <f>D89*1.1</f>
        <v>1949125.2000000002</v>
      </c>
      <c r="E90" s="117"/>
      <c r="F90" s="309">
        <f>F89*1.1</f>
        <v>53588.700000000004</v>
      </c>
      <c r="G90" s="117"/>
      <c r="H90" s="117"/>
      <c r="I90" s="117">
        <f>I89*1.1</f>
        <v>1513815.6</v>
      </c>
      <c r="J90" s="117"/>
      <c r="K90" s="117"/>
      <c r="L90" s="117"/>
      <c r="M90" s="117"/>
      <c r="N90" s="117"/>
      <c r="O90" s="117"/>
      <c r="P90" s="117"/>
      <c r="Q90" s="117"/>
      <c r="R90" s="117">
        <f>(R89*1.1)-1</f>
        <v>239024.6</v>
      </c>
      <c r="S90" s="117"/>
      <c r="T90" s="117">
        <f>(T89*1.1)</f>
        <v>217800.00000000003</v>
      </c>
      <c r="U90" s="117"/>
      <c r="V90" s="117">
        <f>(V89*1.1)</f>
        <v>884268.00000000012</v>
      </c>
      <c r="W90" s="117">
        <f>(W89*1.1)</f>
        <v>0</v>
      </c>
      <c r="X90" s="117"/>
      <c r="Y90" s="117"/>
      <c r="Z90" s="117"/>
      <c r="AA90" s="253"/>
      <c r="AB90" s="253"/>
      <c r="AC90" s="252">
        <f>AC89*1.1</f>
        <v>1531860.0000000002</v>
      </c>
      <c r="AD90" s="73"/>
      <c r="AE90" s="73">
        <f>AE89*1.1</f>
        <v>4537.5</v>
      </c>
      <c r="AF90" s="73"/>
      <c r="AG90" s="244">
        <f t="shared" si="35"/>
        <v>6394019.6000000006</v>
      </c>
    </row>
    <row r="91" spans="1:35" s="15" customFormat="1" ht="20.100000000000001" customHeight="1">
      <c r="A91" s="473"/>
      <c r="B91" s="371" t="s">
        <v>246</v>
      </c>
      <c r="C91" s="92" t="s">
        <v>5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>
        <v>22800</v>
      </c>
      <c r="Q91" s="117"/>
      <c r="R91" s="117"/>
      <c r="S91" s="117"/>
      <c r="T91" s="117"/>
      <c r="U91" s="117"/>
      <c r="V91" s="117"/>
      <c r="W91" s="117"/>
      <c r="X91" s="117"/>
      <c r="Y91" s="117"/>
      <c r="Z91" s="117">
        <v>32400</v>
      </c>
      <c r="AA91" s="253"/>
      <c r="AB91" s="253"/>
      <c r="AC91" s="252"/>
      <c r="AD91" s="73">
        <v>161100</v>
      </c>
      <c r="AE91" s="73"/>
      <c r="AF91" s="73"/>
      <c r="AG91" s="244">
        <f t="shared" si="35"/>
        <v>216300</v>
      </c>
    </row>
    <row r="92" spans="1:35" s="15" customFormat="1" ht="20.100000000000001" customHeight="1">
      <c r="A92" s="473"/>
      <c r="B92" s="372"/>
      <c r="C92" s="92" t="s">
        <v>6</v>
      </c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>
        <f>P91*1.1</f>
        <v>25080.000000000004</v>
      </c>
      <c r="Q92" s="117"/>
      <c r="R92" s="117"/>
      <c r="S92" s="117"/>
      <c r="T92" s="117"/>
      <c r="U92" s="117"/>
      <c r="V92" s="117"/>
      <c r="W92" s="117"/>
      <c r="X92" s="117"/>
      <c r="Y92" s="117"/>
      <c r="Z92" s="117">
        <f>Z91*1.1</f>
        <v>35640</v>
      </c>
      <c r="AA92" s="253"/>
      <c r="AB92" s="253"/>
      <c r="AC92" s="252">
        <f>AC91*1.1</f>
        <v>0</v>
      </c>
      <c r="AD92" s="252">
        <f>AD91*1.1</f>
        <v>177210</v>
      </c>
      <c r="AE92" s="73"/>
      <c r="AF92" s="73"/>
      <c r="AG92" s="244">
        <f t="shared" si="35"/>
        <v>237930</v>
      </c>
    </row>
    <row r="93" spans="1:35" s="15" customFormat="1" ht="20.100000000000001" customHeight="1">
      <c r="A93" s="473"/>
      <c r="B93" s="371" t="s">
        <v>263</v>
      </c>
      <c r="C93" s="92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>
        <v>510720</v>
      </c>
      <c r="U93" s="117"/>
      <c r="V93" s="117"/>
      <c r="W93" s="117"/>
      <c r="X93" s="117"/>
      <c r="Y93" s="117"/>
      <c r="Z93" s="117"/>
      <c r="AA93" s="253"/>
      <c r="AB93" s="253"/>
      <c r="AC93" s="252"/>
      <c r="AD93" s="73"/>
      <c r="AE93" s="73"/>
      <c r="AF93" s="73"/>
      <c r="AG93" s="244">
        <f t="shared" si="35"/>
        <v>510720</v>
      </c>
    </row>
    <row r="94" spans="1:35" s="15" customFormat="1" ht="20.100000000000001" customHeight="1">
      <c r="A94" s="473"/>
      <c r="B94" s="372"/>
      <c r="C94" s="92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>
        <f>T93*1.1</f>
        <v>561792</v>
      </c>
      <c r="U94" s="117"/>
      <c r="V94" s="117"/>
      <c r="W94" s="117"/>
      <c r="X94" s="117"/>
      <c r="Y94" s="117"/>
      <c r="Z94" s="117"/>
      <c r="AA94" s="253"/>
      <c r="AB94" s="253"/>
      <c r="AC94" s="252"/>
      <c r="AD94" s="73"/>
      <c r="AE94" s="73"/>
      <c r="AF94" s="73"/>
      <c r="AG94" s="244">
        <f t="shared" si="35"/>
        <v>561792</v>
      </c>
    </row>
    <row r="95" spans="1:35" s="15" customFormat="1" ht="20.100000000000001" customHeight="1">
      <c r="A95" s="473"/>
      <c r="B95" s="371" t="s">
        <v>282</v>
      </c>
      <c r="C95" s="92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>
        <v>135700</v>
      </c>
      <c r="W95" s="117"/>
      <c r="X95" s="117"/>
      <c r="Y95" s="117">
        <v>126720</v>
      </c>
      <c r="Z95" s="117"/>
      <c r="AA95" s="253"/>
      <c r="AB95" s="253"/>
      <c r="AC95" s="252">
        <v>420300</v>
      </c>
      <c r="AD95" s="73"/>
      <c r="AE95" s="73"/>
      <c r="AF95" s="73"/>
      <c r="AG95" s="244">
        <f t="shared" si="35"/>
        <v>682720</v>
      </c>
    </row>
    <row r="96" spans="1:35" s="15" customFormat="1" ht="20.100000000000001" customHeight="1">
      <c r="A96" s="473"/>
      <c r="B96" s="517"/>
      <c r="C96" s="92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309">
        <f>V95*1.1</f>
        <v>149270</v>
      </c>
      <c r="W96" s="117"/>
      <c r="X96" s="117"/>
      <c r="Y96" s="117">
        <f>Y95*1.1</f>
        <v>139392</v>
      </c>
      <c r="Z96" s="117"/>
      <c r="AA96" s="253"/>
      <c r="AB96" s="253"/>
      <c r="AC96" s="252">
        <f>AC95*1.1</f>
        <v>462330.00000000006</v>
      </c>
      <c r="AD96" s="73"/>
      <c r="AE96" s="73"/>
      <c r="AF96" s="73"/>
      <c r="AG96" s="244">
        <f t="shared" si="35"/>
        <v>750992</v>
      </c>
    </row>
    <row r="97" spans="1:37" s="15" customFormat="1" ht="20.100000000000001" customHeight="1">
      <c r="A97" s="473"/>
      <c r="B97" s="371" t="s">
        <v>291</v>
      </c>
      <c r="C97" s="92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309"/>
      <c r="W97" s="117"/>
      <c r="X97" s="117"/>
      <c r="Y97" s="117"/>
      <c r="Z97" s="117"/>
      <c r="AA97" s="253"/>
      <c r="AB97" s="253">
        <v>324546</v>
      </c>
      <c r="AC97" s="252">
        <v>0</v>
      </c>
      <c r="AD97" s="73"/>
      <c r="AE97" s="73"/>
      <c r="AF97" s="73"/>
      <c r="AG97" s="244"/>
    </row>
    <row r="98" spans="1:37" s="15" customFormat="1" ht="20.100000000000001" customHeight="1">
      <c r="A98" s="473"/>
      <c r="B98" s="517"/>
      <c r="C98" s="92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309"/>
      <c r="W98" s="117"/>
      <c r="X98" s="117"/>
      <c r="Y98" s="117"/>
      <c r="Z98" s="117"/>
      <c r="AA98" s="253"/>
      <c r="AB98" s="253">
        <v>357000</v>
      </c>
      <c r="AC98" s="252"/>
      <c r="AD98" s="73"/>
      <c r="AE98" s="73"/>
      <c r="AF98" s="73"/>
      <c r="AG98" s="244"/>
    </row>
    <row r="99" spans="1:37" s="15" customFormat="1" ht="20.100000000000001" customHeight="1">
      <c r="A99" s="473"/>
      <c r="B99" s="442" t="s">
        <v>95</v>
      </c>
      <c r="C99" s="92" t="s">
        <v>5</v>
      </c>
      <c r="D99" s="117">
        <v>156000</v>
      </c>
      <c r="E99" s="73"/>
      <c r="F99" s="73"/>
      <c r="G99" s="306">
        <v>10000</v>
      </c>
      <c r="H99" s="306">
        <v>42000</v>
      </c>
      <c r="I99" s="73">
        <v>252660</v>
      </c>
      <c r="J99" s="73"/>
      <c r="K99" s="73">
        <v>28960</v>
      </c>
      <c r="L99" s="73"/>
      <c r="M99" s="73"/>
      <c r="N99" s="311">
        <v>79400</v>
      </c>
      <c r="O99" s="73"/>
      <c r="P99" s="73"/>
      <c r="Q99" s="73"/>
      <c r="R99" s="73">
        <v>245000</v>
      </c>
      <c r="S99" s="73">
        <v>64400</v>
      </c>
      <c r="T99" s="73">
        <f>1085320+7636</f>
        <v>1092956</v>
      </c>
      <c r="U99" s="73"/>
      <c r="V99" s="73">
        <v>234000</v>
      </c>
      <c r="W99" s="73">
        <v>177900</v>
      </c>
      <c r="X99" s="73"/>
      <c r="Y99" s="73"/>
      <c r="Z99" s="73"/>
      <c r="AA99" s="261">
        <v>38340</v>
      </c>
      <c r="AB99" s="73"/>
      <c r="AC99" s="253">
        <v>270240</v>
      </c>
      <c r="AD99" s="73">
        <v>392880</v>
      </c>
      <c r="AE99" s="73">
        <v>24000</v>
      </c>
      <c r="AF99" s="73"/>
      <c r="AG99" s="244">
        <f>SUM(D99:AF99)</f>
        <v>3108736</v>
      </c>
    </row>
    <row r="100" spans="1:37" s="15" customFormat="1" ht="20.100000000000001" customHeight="1">
      <c r="A100" s="473"/>
      <c r="B100" s="442"/>
      <c r="C100" s="92" t="s">
        <v>6</v>
      </c>
      <c r="D100" s="117">
        <f t="shared" ref="D100:I100" si="41">D99*1.1</f>
        <v>171600</v>
      </c>
      <c r="E100" s="117">
        <f t="shared" si="41"/>
        <v>0</v>
      </c>
      <c r="F100" s="117">
        <f t="shared" si="41"/>
        <v>0</v>
      </c>
      <c r="G100" s="309">
        <f t="shared" si="41"/>
        <v>11000</v>
      </c>
      <c r="H100" s="309">
        <f t="shared" si="41"/>
        <v>46200.000000000007</v>
      </c>
      <c r="I100" s="73">
        <f t="shared" si="41"/>
        <v>277926</v>
      </c>
      <c r="J100" s="73"/>
      <c r="K100" s="73">
        <f>K99*1.1</f>
        <v>31856.000000000004</v>
      </c>
      <c r="L100" s="73">
        <f t="shared" ref="L100:V100" si="42">L99*1.1</f>
        <v>0</v>
      </c>
      <c r="M100" s="73">
        <f t="shared" si="42"/>
        <v>0</v>
      </c>
      <c r="N100" s="73"/>
      <c r="O100" s="73">
        <f t="shared" si="42"/>
        <v>0</v>
      </c>
      <c r="P100" s="73">
        <f t="shared" si="42"/>
        <v>0</v>
      </c>
      <c r="Q100" s="73">
        <f t="shared" si="42"/>
        <v>0</v>
      </c>
      <c r="R100" s="73">
        <f t="shared" si="42"/>
        <v>269500</v>
      </c>
      <c r="S100" s="73">
        <f t="shared" si="42"/>
        <v>70840</v>
      </c>
      <c r="T100" s="73">
        <f t="shared" si="42"/>
        <v>1202251.6000000001</v>
      </c>
      <c r="U100" s="73"/>
      <c r="V100" s="73">
        <f t="shared" si="42"/>
        <v>257400.00000000003</v>
      </c>
      <c r="W100" s="73">
        <f>W99*1.1</f>
        <v>195690.00000000003</v>
      </c>
      <c r="X100" s="73"/>
      <c r="Y100" s="73"/>
      <c r="Z100" s="73"/>
      <c r="AA100" s="261">
        <f>AA99*1.1</f>
        <v>42174</v>
      </c>
      <c r="AB100" s="73"/>
      <c r="AC100" s="117">
        <f>AC99*1.1</f>
        <v>297264</v>
      </c>
      <c r="AD100" s="117">
        <f>AD99*1.1</f>
        <v>432168.00000000006</v>
      </c>
      <c r="AE100" s="73">
        <f>AE99*1.1</f>
        <v>26400.000000000004</v>
      </c>
      <c r="AF100" s="73"/>
      <c r="AG100" s="244">
        <f>SUM(D100:AF100)</f>
        <v>3332269.6</v>
      </c>
    </row>
    <row r="101" spans="1:37" s="15" customFormat="1" ht="20.100000000000001" customHeight="1">
      <c r="A101" s="473"/>
      <c r="B101" s="442" t="s">
        <v>38</v>
      </c>
      <c r="C101" s="92" t="s">
        <v>5</v>
      </c>
      <c r="D101" s="117"/>
      <c r="E101" s="73"/>
      <c r="F101" s="73"/>
      <c r="G101" s="73"/>
      <c r="H101" s="73"/>
      <c r="I101" s="73"/>
      <c r="J101" s="73"/>
      <c r="K101" s="73"/>
      <c r="L101" s="73"/>
      <c r="M101" s="260"/>
      <c r="N101" s="260"/>
      <c r="O101" s="260"/>
      <c r="P101" s="260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261"/>
      <c r="AB101" s="73"/>
      <c r="AC101" s="117">
        <v>416667</v>
      </c>
      <c r="AD101" s="117"/>
      <c r="AE101" s="73"/>
      <c r="AF101" s="73"/>
      <c r="AG101" s="244">
        <f>SUM(D101:AF101)</f>
        <v>416667</v>
      </c>
    </row>
    <row r="102" spans="1:37" s="15" customFormat="1" ht="20.100000000000001" customHeight="1">
      <c r="A102" s="473"/>
      <c r="B102" s="442"/>
      <c r="C102" s="92" t="s">
        <v>6</v>
      </c>
      <c r="D102" s="117">
        <f>D101*1.1</f>
        <v>0</v>
      </c>
      <c r="E102" s="73"/>
      <c r="F102" s="73"/>
      <c r="G102" s="73"/>
      <c r="H102" s="73"/>
      <c r="I102" s="73"/>
      <c r="J102" s="73"/>
      <c r="K102" s="73">
        <f>K101*1.1</f>
        <v>0</v>
      </c>
      <c r="L102" s="73">
        <f>L101*1.1</f>
        <v>0</v>
      </c>
      <c r="M102" s="73">
        <f>M101*1.1</f>
        <v>0</v>
      </c>
      <c r="N102" s="73"/>
      <c r="O102" s="73"/>
      <c r="P102" s="73"/>
      <c r="Q102" s="73"/>
      <c r="R102" s="73"/>
      <c r="S102" s="73">
        <f>S101*1.08</f>
        <v>0</v>
      </c>
      <c r="T102" s="73"/>
      <c r="U102" s="73"/>
      <c r="V102" s="73"/>
      <c r="W102" s="73"/>
      <c r="X102" s="73"/>
      <c r="Y102" s="73"/>
      <c r="Z102" s="245"/>
      <c r="AA102" s="262"/>
      <c r="AB102" s="73"/>
      <c r="AC102" s="117">
        <f>AC101*1.08</f>
        <v>450000.36000000004</v>
      </c>
      <c r="AD102" s="117"/>
      <c r="AE102" s="73"/>
      <c r="AF102" s="73"/>
      <c r="AG102" s="244">
        <f>SUM(D102:AF102)</f>
        <v>450000.36000000004</v>
      </c>
    </row>
    <row r="103" spans="1:37" s="15" customFormat="1" ht="20.100000000000001" customHeight="1">
      <c r="A103" s="473"/>
      <c r="B103" s="371" t="s">
        <v>306</v>
      </c>
      <c r="C103" s="92"/>
      <c r="D103" s="117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245"/>
      <c r="AA103" s="262">
        <v>300</v>
      </c>
      <c r="AB103" s="73"/>
      <c r="AC103" s="117"/>
      <c r="AD103" s="117"/>
      <c r="AE103" s="73">
        <f>1824+1891</f>
        <v>3715</v>
      </c>
      <c r="AF103" s="73"/>
      <c r="AG103" s="244"/>
    </row>
    <row r="104" spans="1:37" s="15" customFormat="1" ht="20.100000000000001" customHeight="1">
      <c r="A104" s="473"/>
      <c r="B104" s="372"/>
      <c r="C104" s="92"/>
      <c r="D104" s="117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245"/>
      <c r="AA104" s="262">
        <f>AA103*1.1</f>
        <v>330</v>
      </c>
      <c r="AB104" s="73"/>
      <c r="AC104" s="117"/>
      <c r="AD104" s="117"/>
      <c r="AE104" s="73">
        <v>4050</v>
      </c>
      <c r="AF104" s="73"/>
      <c r="AG104" s="244"/>
    </row>
    <row r="105" spans="1:37" s="15" customFormat="1" ht="20.100000000000001" customHeight="1">
      <c r="A105" s="473"/>
      <c r="B105" s="93" t="s">
        <v>28</v>
      </c>
      <c r="C105" s="99"/>
      <c r="D105" s="117">
        <f>710592+2880+122806</f>
        <v>836278</v>
      </c>
      <c r="E105" s="73">
        <v>16550</v>
      </c>
      <c r="F105" s="73">
        <v>36500</v>
      </c>
      <c r="G105" s="306">
        <f>7750+13000+8800+8800</f>
        <v>38350</v>
      </c>
      <c r="H105" s="306">
        <f>27700+21400+23500+36100+14050+19300+1000+21400</f>
        <v>164450</v>
      </c>
      <c r="I105" s="73">
        <f>813456+121526</f>
        <v>934982</v>
      </c>
      <c r="J105" s="73"/>
      <c r="K105" s="73">
        <f>16450+450</f>
        <v>16900</v>
      </c>
      <c r="L105" s="73">
        <v>36100</v>
      </c>
      <c r="M105" s="73">
        <v>7750</v>
      </c>
      <c r="N105" s="73"/>
      <c r="O105" s="73">
        <f>15100+990+1530</f>
        <v>17620</v>
      </c>
      <c r="P105" s="73">
        <v>1080</v>
      </c>
      <c r="Q105" s="73">
        <f>23500+1100+1100</f>
        <v>25700</v>
      </c>
      <c r="R105" s="73">
        <f>570168+86340</f>
        <v>656508</v>
      </c>
      <c r="S105" s="73">
        <v>10900</v>
      </c>
      <c r="T105" s="73">
        <f>631050+102267</f>
        <v>733317</v>
      </c>
      <c r="U105" s="73"/>
      <c r="V105" s="73">
        <f>446490+73826</f>
        <v>520316</v>
      </c>
      <c r="W105" s="75">
        <v>58950</v>
      </c>
      <c r="X105" s="73"/>
      <c r="Y105" s="73"/>
      <c r="Z105" s="245">
        <f>21400+29800</f>
        <v>51200</v>
      </c>
      <c r="AA105" s="262">
        <v>11950</v>
      </c>
      <c r="AB105" s="73">
        <v>1230</v>
      </c>
      <c r="AC105" s="117">
        <f>87235+441150</f>
        <v>528385</v>
      </c>
      <c r="AD105" s="117">
        <v>32300</v>
      </c>
      <c r="AE105" s="73">
        <f>660+10900+14050</f>
        <v>25610</v>
      </c>
      <c r="AF105" s="73">
        <v>8150</v>
      </c>
      <c r="AG105" s="244">
        <f t="shared" ref="AG105:AG148" si="43">SUM(D105:AF105)</f>
        <v>4771076</v>
      </c>
    </row>
    <row r="106" spans="1:37" s="15" customFormat="1" ht="20.100000000000001" customHeight="1">
      <c r="A106" s="473"/>
      <c r="B106" s="443" t="s">
        <v>29</v>
      </c>
      <c r="C106" s="443"/>
      <c r="D106" s="263">
        <f t="shared" ref="D106:K106" si="44">D3+D7+D9+D13+D15+D17+D19+D21+D23+D25+D27+D29+D31+D33+D35+D37+D39+D41+D43+D45+D47+D51+D53+D55+D57+D59+D61+D63+D65+D67+D69+D71+D73+D75+D77+D79+D99+D101+D105+D87+D49+D81+D83+D85+D89+D91</f>
        <v>13645320</v>
      </c>
      <c r="E106" s="263">
        <f t="shared" si="44"/>
        <v>86550</v>
      </c>
      <c r="F106" s="263">
        <f t="shared" si="44"/>
        <v>119617</v>
      </c>
      <c r="G106" s="263">
        <f t="shared" si="44"/>
        <v>146065</v>
      </c>
      <c r="H106" s="263">
        <f t="shared" si="44"/>
        <v>786289</v>
      </c>
      <c r="I106" s="263">
        <f t="shared" si="44"/>
        <v>17681142</v>
      </c>
      <c r="J106" s="263">
        <f t="shared" si="44"/>
        <v>197300</v>
      </c>
      <c r="K106" s="263">
        <f t="shared" si="44"/>
        <v>67384</v>
      </c>
      <c r="L106" s="263">
        <f>L3+L7+L9+L13+L15+L17+L19+L21+L23+L25+L27+L29+L31+L33+L35+L37+L39+L41+L43+L45+L47+L51+L53+L55+L57+L59+L61+L63+L65+L67+L69+L71+L73+L75+L77+L79+L99+L101+L105+L87</f>
        <v>36100</v>
      </c>
      <c r="M106" s="263">
        <f>M3+M7+M9+M13+M15+M17+M19+M21+M23+M25+M27+M29+M31+M33+M35+M37+M39+M41+M43+M45+M47+M51+M53+M55+M57+M59+M61+M63+M65+M67+M69+M71+M73+M75+M77+M79+M99+M101+M105+M87</f>
        <v>30100</v>
      </c>
      <c r="N106" s="263">
        <f>N3+N7+N9+N13+N15+N17+N19+N21+N23+N25+N27+N29+N31+N33+N35+N37+N39+N41+N43+N45+N47+N51+N53+N55+N57+N59+N61+N63+N65+N67+N69+N71+N73+N75+N77+N79+N99+N101+N105+N87</f>
        <v>705664</v>
      </c>
      <c r="O106" s="263">
        <f>O3+O7+O9+O13+O15+O17+O19+O21+O23+O25+O27+O29+O31+O33+O35+O37+O39+O41+O43+O45+O47+O51+O53+O55+O57+O59+O61+O63+O65+O67+O69+O71+O73+O75+O77+O79+O99+O101+O105+O87</f>
        <v>80287</v>
      </c>
      <c r="P106" s="263">
        <f>P3+P7+P9+P13+P15+P17+P19+P21+P23+P25+P27+P29+P31+P33+P35+P37+P39+P41+P43+P45+P47+P51+P53+P55+P57+P59+P61+P63+P65+P67+P69+P71+P73+P75+P77+P79+P99+P101+P105+P87+P91</f>
        <v>137830</v>
      </c>
      <c r="Q106" s="263">
        <f>Q3+Q7+Q9+Q13+Q15+Q17+Q19+Q21+Q23+Q25+Q27+Q29+Q31+Q33+Q35+Q37+Q39+Q41+Q43+Q45+Q47+Q51+Q53+Q55+Q57+Q59+Q61+Q63+Q65+Q67+Q69+Q71+Q73+Q75+Q77+Q79+Q99+Q101+Q105+Q87+Q81+Q83+Q85</f>
        <v>61340</v>
      </c>
      <c r="R106" s="263">
        <f>R3+R7+R9+R13+R15+R17+R19+R21+R23+R25+R27+R29+R31+R33+R35+R37+R39+R41+R43+R45+R47+R51+R53+R55+R57+R59+R61+R63+R65+R67+R69+R71+R73+R75+R77+R79+R99+R101+R105+R87+R81+R83+R85+R89+R91</f>
        <v>13814873</v>
      </c>
      <c r="S106" s="263">
        <f>S3+S7+S9+S13+S15+S17+S19+S21+S23+S25+S27+S29+S31+S33+S35+S37+S39+S41+S43+S45+S47+S51+S53+S55+S57+S59+S61+S63+S65+S67+S69+S71+S73+S75+S77+S79+S99+S101+S105+S87+S81+S83+S85</f>
        <v>86800</v>
      </c>
      <c r="T106" s="263">
        <f>T3+T7+T9+T13+T15+T17+T19+T21+T23+T25+T27+T29+T31+T33+T35+T37+T39+T41+T43+T45+T47+T51+T53+T55+T57+T59+T61+T63+T65+T67+T69+T71+T73+T75+T77+T79+T99+T101+T105+T87+T81+T83+T85+T93+T89</f>
        <v>14349903</v>
      </c>
      <c r="U106" s="263">
        <f>U3+U7+U9+U13+U15+U17+U19+U21+U23+U25+U27+U29+U31+U33+U35+U37+U39+U41+U43+U45+U47+U51+U53+U55+U57+U59+U61+U63+U65+U67+U69+U71+U73+U75+U77+U79+U99+U101+U105+U87+U81+U83+U85+U93+U89</f>
        <v>11200</v>
      </c>
      <c r="V106" s="263">
        <f>V3+V7+V9+V13+V15+V17+V19+V21+V23+V25+V27+V29+V31+V33+V35+V37+V39+V41+V43+V45+V47+V51+V53+V55+V57+V59+V61+V63+V65+V67+V69+V71+V73+V75+V77+V79+V99+V101+V105+V87+V49+V81+V83+V85+V95+V93+V91+V89</f>
        <v>9085837</v>
      </c>
      <c r="W106" s="263">
        <f>W3+W7+W9+W13+W15+W17+W19+W21+W23+W25+W27+W29+W31+W33+W35+W37+W39+W41+W43+W45+W47+W51+W53+W55+W57+W59+W61+W63+W65+W67+W69+W71+W73+W75+W77+W79+W99+W101+W105+W87+W49+W81+W83+W85+W95+W93+W91+W89</f>
        <v>402946</v>
      </c>
      <c r="X106" s="263">
        <f>X3+X7+X9+X13+X15+X17+X19+X21+X23+X25+X27+X29+X31+X33+X35+X37+X39+X41+X43+X45+X47+X51+X53+X55+X57+X59+X61+X63+X65+X67+X69+X71+X73+X75+X77+X79+X99+X101+X105+X87+X49+X81+X83+X85+X95+X93+X91+X89</f>
        <v>24320</v>
      </c>
      <c r="Y106" s="263">
        <f>Y3+Y7+Y9+Y13+Y15+Y17+Y19+Y21+Y23+Y25+Y27+Y29+Y31+Y33+Y35+Y37+Y39+Y41+Y43+Y45+Y47+Y51+Y53+Y55+Y57+Y59+Y61+Y63+Y65+Y67+Y69+Y71+Y73+Y75+Y77+Y79+Y99+Y101+Y105+Y87+Y49+Y81+Y83+Y85+Y95+Y93+Y91+Y89</f>
        <v>1869996</v>
      </c>
      <c r="Z106" s="263">
        <f>Z3+Z7+Z9+Z13+Z15+Z17+Z19+Z21+Z23+Z25+Z27+Z29+Z31+Z33+Z35+Z37+Z39+Z41+Z43+Z45+Z47+Z51+Z53+Z55+Z57+Z59+Z61+Z63+Z65+Z67+Z69+Z71+Z73+Z75+Z77+Z79+Z99+Z101+Z105+Z87+Z49+Z81+Z83+Z85+Z95+Z93+Z91+Z89</f>
        <v>230063</v>
      </c>
      <c r="AA106" s="264">
        <f>AA3+AA9+AA13+AA7+AA17+AA15+AA21+AA19+AA23+AA27+AA105+AA25+AA33+AA35+AA29+AA39+AA41+AA45+AA47+AA101+AA57+AA53+AA43+AA59+AA63+AA67+AA61+AA37+AA65+AA69+AA71+AA73+AA75+AA77+AA79+AA99+AA49+AA103</f>
        <v>71107</v>
      </c>
      <c r="AB106" s="264">
        <f>AB3+AB9+AB13+AB7+AB17+AB15+AB21+AB19+AB23+AB27+AB105+AB25+AB33+AB35+AB29+AB39+AB41+AB45+AB47+AB101+AB57+AB53+AB43+AB59+AB63+AB67+AB61+AB37+AB65+AB69+AB71+AB73+AB75+AB77+AB79+AB99+AB49+AB103+AB97</f>
        <v>361306</v>
      </c>
      <c r="AC106" s="263">
        <f>AC3+AC9+AC13+AC7+AC17+AC15+AC21+AC19+AC23+AC27+AC105+AC25+AC33+AC35+AC29+AC39+AC41+AC45+AC47+AC101+AC57+AC53+AC43+AC59+AC63+AC67+AC61+AC37+AC65+AC69+AC71+AC73+AC75+AC77+AC79+AC99+AC85+AC91+AC95+AC93+AC89+AC87+AC83+AC81+AC51+AC49+AC55+AC31</f>
        <v>10565616</v>
      </c>
      <c r="AD106" s="263">
        <f>AD3+AD9+AD13+AD7+AD17+AD15+AD21+AD19+AD23+AD27+AD105+AD25+AD33+AD35+AD29+AD39+AD41+AD45+AD47+AD101+AD57+AD53+AD43+AD59+AD63+AD67+AD61+AD37+AD65+AD69+AD71+AD73+AD75+AD77+AD79+AD99+AD91</f>
        <v>590480</v>
      </c>
      <c r="AE106" s="265">
        <f>AE3+AE9+AE13+AE7+AE17+AE15+AE21+AE19+AE23+AE27+AE105+AE25+AE33+AE35+AE29+AE39+AE41+AE45+AE47+AE101+AE57+AE53+AE43+AE59+AE63+AE67+AE61+AE37+AE65+AE69+AE71+AE73+AE75+AE77+AE79+AE99</f>
        <v>145616</v>
      </c>
      <c r="AF106" s="265">
        <f>AF3+AF9+AF13+AF7+AF17+AF15+AF21+AF19+AF23+AF27+AF105+AF25+AF33+AF35+AF29+AF39+AF41+AF45+AF47+AF101+AF57+AF53+AF43+AF59+AF63+AF67+AF61+AF37+AF65+AF69+AF71+AF73+AF75+AF77+AF79+AF99</f>
        <v>61700</v>
      </c>
      <c r="AG106" s="244">
        <f t="shared" si="43"/>
        <v>85452751</v>
      </c>
      <c r="AH106" s="23">
        <f>SUM(D106:F106)</f>
        <v>13851487</v>
      </c>
      <c r="AJ106" s="43">
        <f>AG106+AI106</f>
        <v>85452751</v>
      </c>
      <c r="AK106" s="23">
        <f>AA106+AC106</f>
        <v>10636723</v>
      </c>
    </row>
    <row r="107" spans="1:37" s="15" customFormat="1" ht="20.100000000000001" customHeight="1">
      <c r="A107" s="444" t="s">
        <v>30</v>
      </c>
      <c r="B107" s="123" t="s">
        <v>142</v>
      </c>
      <c r="C107" s="22" t="s">
        <v>5</v>
      </c>
      <c r="D107" s="74"/>
      <c r="E107" s="74">
        <v>0</v>
      </c>
      <c r="F107" s="74"/>
      <c r="G107" s="74"/>
      <c r="H107" s="74"/>
      <c r="I107" s="74"/>
      <c r="J107" s="74"/>
      <c r="K107" s="74"/>
      <c r="L107" s="74"/>
      <c r="M107" s="266"/>
      <c r="N107" s="74"/>
      <c r="O107" s="249"/>
      <c r="P107" s="74"/>
      <c r="Q107" s="74"/>
      <c r="R107" s="74">
        <v>207948</v>
      </c>
      <c r="S107" s="74"/>
      <c r="T107" s="74"/>
      <c r="U107" s="74"/>
      <c r="V107" s="74">
        <v>0</v>
      </c>
      <c r="W107" s="74"/>
      <c r="X107" s="74"/>
      <c r="Y107" s="74"/>
      <c r="Z107" s="266"/>
      <c r="AA107" s="267"/>
      <c r="AB107" s="74"/>
      <c r="AC107" s="249">
        <v>0</v>
      </c>
      <c r="AD107" s="249"/>
      <c r="AE107" s="74"/>
      <c r="AF107" s="74"/>
      <c r="AG107" s="244">
        <f t="shared" si="43"/>
        <v>207948</v>
      </c>
    </row>
    <row r="108" spans="1:37" s="15" customFormat="1" ht="20.100000000000001" customHeight="1">
      <c r="A108" s="445"/>
      <c r="B108" s="40" t="s">
        <v>31</v>
      </c>
      <c r="C108" s="22" t="s">
        <v>5</v>
      </c>
      <c r="D108" s="73">
        <v>1606410</v>
      </c>
      <c r="E108" s="73">
        <v>18329</v>
      </c>
      <c r="F108" s="73"/>
      <c r="G108" s="73">
        <v>39886</v>
      </c>
      <c r="H108" s="73">
        <v>193502</v>
      </c>
      <c r="I108" s="73">
        <v>1701822</v>
      </c>
      <c r="J108" s="73"/>
      <c r="K108" s="73"/>
      <c r="L108" s="73"/>
      <c r="M108" s="245">
        <v>27150</v>
      </c>
      <c r="N108" s="73">
        <v>105285</v>
      </c>
      <c r="O108" s="117"/>
      <c r="P108" s="73"/>
      <c r="Q108" s="73">
        <v>2391</v>
      </c>
      <c r="R108" s="73">
        <v>1860856</v>
      </c>
      <c r="S108" s="73"/>
      <c r="T108" s="73">
        <v>809054</v>
      </c>
      <c r="U108" s="73"/>
      <c r="V108" s="73">
        <v>740076</v>
      </c>
      <c r="W108" s="73"/>
      <c r="X108" s="73"/>
      <c r="Y108" s="73"/>
      <c r="Z108" s="73">
        <v>43200</v>
      </c>
      <c r="AA108" s="268"/>
      <c r="AB108" s="73"/>
      <c r="AC108" s="117">
        <v>1225164</v>
      </c>
      <c r="AD108" s="117"/>
      <c r="AE108" s="73"/>
      <c r="AF108" s="73"/>
      <c r="AG108" s="244">
        <f t="shared" si="43"/>
        <v>8373125</v>
      </c>
    </row>
    <row r="109" spans="1:37" s="15" customFormat="1" ht="20.100000000000001" customHeight="1">
      <c r="A109" s="445"/>
      <c r="B109" s="39" t="s">
        <v>116</v>
      </c>
      <c r="C109" s="76" t="s">
        <v>5</v>
      </c>
      <c r="D109" s="252">
        <v>406470</v>
      </c>
      <c r="E109" s="252">
        <v>28106</v>
      </c>
      <c r="F109" s="252"/>
      <c r="G109" s="252">
        <v>72204</v>
      </c>
      <c r="H109" s="252"/>
      <c r="I109" s="252">
        <v>277782</v>
      </c>
      <c r="J109" s="252">
        <v>69168</v>
      </c>
      <c r="K109" s="252"/>
      <c r="L109" s="252"/>
      <c r="M109" s="261"/>
      <c r="N109" s="73"/>
      <c r="O109" s="253"/>
      <c r="P109" s="252">
        <v>38238</v>
      </c>
      <c r="Q109" s="252"/>
      <c r="R109" s="252">
        <v>334536</v>
      </c>
      <c r="S109" s="252">
        <v>4375</v>
      </c>
      <c r="T109" s="252">
        <v>1000050</v>
      </c>
      <c r="U109" s="252"/>
      <c r="V109" s="252">
        <v>0</v>
      </c>
      <c r="W109" s="252"/>
      <c r="X109" s="252"/>
      <c r="Y109" s="252"/>
      <c r="Z109" s="252"/>
      <c r="AA109" s="261">
        <v>4790</v>
      </c>
      <c r="AB109" s="73">
        <v>44413</v>
      </c>
      <c r="AC109" s="117">
        <v>191280</v>
      </c>
      <c r="AD109" s="253"/>
      <c r="AE109" s="252"/>
      <c r="AF109" s="252">
        <v>50752</v>
      </c>
      <c r="AG109" s="244">
        <f t="shared" si="43"/>
        <v>2522164</v>
      </c>
    </row>
    <row r="110" spans="1:37" s="15" customFormat="1" ht="20.100000000000001" customHeight="1">
      <c r="A110" s="446"/>
      <c r="B110" s="84" t="s">
        <v>117</v>
      </c>
      <c r="C110" s="85" t="s">
        <v>5</v>
      </c>
      <c r="D110" s="257">
        <v>636760</v>
      </c>
      <c r="E110" s="257">
        <v>0</v>
      </c>
      <c r="F110" s="262">
        <v>3618</v>
      </c>
      <c r="G110" s="73">
        <v>7393</v>
      </c>
      <c r="H110" s="256"/>
      <c r="I110" s="256">
        <v>881112</v>
      </c>
      <c r="J110" s="256"/>
      <c r="K110" s="257"/>
      <c r="L110" s="257"/>
      <c r="M110" s="262"/>
      <c r="N110" s="73"/>
      <c r="O110" s="256"/>
      <c r="P110" s="257"/>
      <c r="Q110" s="257">
        <v>12060</v>
      </c>
      <c r="R110" s="257">
        <v>977044</v>
      </c>
      <c r="S110" s="257"/>
      <c r="T110" s="257">
        <v>1702950</v>
      </c>
      <c r="U110" s="257"/>
      <c r="V110" s="257">
        <v>590088</v>
      </c>
      <c r="W110" s="257"/>
      <c r="X110" s="257"/>
      <c r="Y110" s="257"/>
      <c r="Z110" s="257"/>
      <c r="AA110" s="262"/>
      <c r="AB110" s="73"/>
      <c r="AC110" s="117">
        <v>1776248</v>
      </c>
      <c r="AD110" s="256"/>
      <c r="AE110" s="257"/>
      <c r="AF110" s="257"/>
      <c r="AG110" s="244">
        <f t="shared" si="43"/>
        <v>6587273</v>
      </c>
    </row>
    <row r="111" spans="1:37" s="15" customFormat="1" ht="20.100000000000001" customHeight="1">
      <c r="A111" s="446"/>
      <c r="B111" s="101" t="s">
        <v>118</v>
      </c>
      <c r="C111" s="85" t="s">
        <v>5</v>
      </c>
      <c r="D111" s="257">
        <v>896088</v>
      </c>
      <c r="E111" s="270">
        <v>0</v>
      </c>
      <c r="F111" s="271"/>
      <c r="G111" s="73"/>
      <c r="H111" s="272"/>
      <c r="I111" s="272"/>
      <c r="J111" s="272"/>
      <c r="K111" s="257"/>
      <c r="L111" s="270"/>
      <c r="M111" s="273"/>
      <c r="N111" s="73"/>
      <c r="O111" s="272"/>
      <c r="P111" s="270"/>
      <c r="Q111" s="270"/>
      <c r="R111" s="257">
        <v>1124292</v>
      </c>
      <c r="S111" s="257"/>
      <c r="T111" s="257">
        <v>574608</v>
      </c>
      <c r="U111" s="257"/>
      <c r="V111" s="270">
        <v>0</v>
      </c>
      <c r="W111" s="270"/>
      <c r="X111" s="270"/>
      <c r="Y111" s="270"/>
      <c r="Z111" s="270"/>
      <c r="AA111" s="271"/>
      <c r="AB111" s="118"/>
      <c r="AC111" s="356">
        <v>0</v>
      </c>
      <c r="AD111" s="272"/>
      <c r="AE111" s="270"/>
      <c r="AF111" s="270"/>
      <c r="AG111" s="244">
        <f t="shared" si="43"/>
        <v>2594988</v>
      </c>
    </row>
    <row r="112" spans="1:37" s="15" customFormat="1" ht="20.100000000000001" customHeight="1">
      <c r="A112" s="446"/>
      <c r="B112" s="101" t="s">
        <v>119</v>
      </c>
      <c r="C112" s="85" t="s">
        <v>5</v>
      </c>
      <c r="D112" s="257">
        <v>65460</v>
      </c>
      <c r="E112" s="270">
        <v>0</v>
      </c>
      <c r="F112" s="271"/>
      <c r="G112" s="73"/>
      <c r="H112" s="272"/>
      <c r="I112" s="272"/>
      <c r="J112" s="272"/>
      <c r="K112" s="270"/>
      <c r="L112" s="271"/>
      <c r="M112" s="274"/>
      <c r="N112" s="239"/>
      <c r="O112" s="272"/>
      <c r="P112" s="270"/>
      <c r="Q112" s="270"/>
      <c r="R112" s="270"/>
      <c r="S112" s="257"/>
      <c r="T112" s="257">
        <v>90000</v>
      </c>
      <c r="U112" s="257"/>
      <c r="V112" s="270">
        <v>0</v>
      </c>
      <c r="W112" s="270"/>
      <c r="X112" s="270"/>
      <c r="Y112" s="257">
        <v>290496</v>
      </c>
      <c r="Z112" s="257"/>
      <c r="AA112" s="262"/>
      <c r="AB112" s="73"/>
      <c r="AC112" s="357">
        <v>0</v>
      </c>
      <c r="AD112" s="270"/>
      <c r="AE112" s="270"/>
      <c r="AF112" s="270"/>
      <c r="AG112" s="244">
        <f t="shared" si="43"/>
        <v>445956</v>
      </c>
    </row>
    <row r="113" spans="1:33" s="15" customFormat="1" ht="20.100000000000001" customHeight="1">
      <c r="A113" s="445"/>
      <c r="B113" s="89" t="s">
        <v>120</v>
      </c>
      <c r="C113" s="77" t="s">
        <v>5</v>
      </c>
      <c r="D113" s="260">
        <v>13480</v>
      </c>
      <c r="E113" s="260">
        <v>0</v>
      </c>
      <c r="F113" s="268"/>
      <c r="G113" s="73">
        <v>920</v>
      </c>
      <c r="H113" s="259"/>
      <c r="I113" s="259">
        <v>49080</v>
      </c>
      <c r="J113" s="259"/>
      <c r="K113" s="260"/>
      <c r="L113" s="268"/>
      <c r="M113" s="245"/>
      <c r="N113" s="73"/>
      <c r="O113" s="259"/>
      <c r="P113" s="260"/>
      <c r="Q113" s="260">
        <v>230</v>
      </c>
      <c r="R113" s="260">
        <v>384708</v>
      </c>
      <c r="S113" s="260"/>
      <c r="T113" s="260">
        <v>139228</v>
      </c>
      <c r="U113" s="260"/>
      <c r="V113" s="260">
        <v>38580</v>
      </c>
      <c r="W113" s="260"/>
      <c r="X113" s="260"/>
      <c r="Y113" s="260"/>
      <c r="Z113" s="260">
        <v>30675</v>
      </c>
      <c r="AA113" s="268"/>
      <c r="AB113" s="73"/>
      <c r="AC113" s="259">
        <v>98160</v>
      </c>
      <c r="AD113" s="260">
        <v>4600</v>
      </c>
      <c r="AE113" s="260">
        <v>35244</v>
      </c>
      <c r="AF113" s="260"/>
      <c r="AG113" s="244">
        <f t="shared" si="43"/>
        <v>794905</v>
      </c>
    </row>
    <row r="114" spans="1:33" s="15" customFormat="1" ht="20.100000000000001" customHeight="1">
      <c r="A114" s="445"/>
      <c r="B114" s="38" t="s">
        <v>121</v>
      </c>
      <c r="C114" s="22" t="s">
        <v>5</v>
      </c>
      <c r="D114" s="73">
        <v>26784</v>
      </c>
      <c r="E114" s="73">
        <v>0</v>
      </c>
      <c r="F114" s="245"/>
      <c r="G114" s="73"/>
      <c r="H114" s="117"/>
      <c r="I114" s="117"/>
      <c r="J114" s="117"/>
      <c r="K114" s="73"/>
      <c r="L114" s="245"/>
      <c r="M114" s="274"/>
      <c r="N114" s="239"/>
      <c r="O114" s="117"/>
      <c r="P114" s="73"/>
      <c r="Q114" s="73"/>
      <c r="R114" s="73">
        <v>231708</v>
      </c>
      <c r="S114" s="73"/>
      <c r="T114" s="73"/>
      <c r="U114" s="73"/>
      <c r="V114" s="73">
        <v>0</v>
      </c>
      <c r="W114" s="73"/>
      <c r="X114" s="73"/>
      <c r="Y114" s="73">
        <v>75874</v>
      </c>
      <c r="Z114" s="73"/>
      <c r="AA114" s="245"/>
      <c r="AB114" s="73"/>
      <c r="AC114" s="117">
        <v>0</v>
      </c>
      <c r="AD114" s="73"/>
      <c r="AE114" s="73"/>
      <c r="AF114" s="73"/>
      <c r="AG114" s="244">
        <f t="shared" si="43"/>
        <v>334366</v>
      </c>
    </row>
    <row r="115" spans="1:33" s="15" customFormat="1" ht="20.100000000000001" customHeight="1">
      <c r="A115" s="445"/>
      <c r="B115" s="38" t="s">
        <v>123</v>
      </c>
      <c r="C115" s="22" t="s">
        <v>5</v>
      </c>
      <c r="D115" s="73">
        <v>322872</v>
      </c>
      <c r="E115" s="73">
        <v>0</v>
      </c>
      <c r="F115" s="245">
        <v>3133</v>
      </c>
      <c r="G115" s="73">
        <v>7892</v>
      </c>
      <c r="H115" s="117"/>
      <c r="I115" s="117">
        <v>129024</v>
      </c>
      <c r="J115" s="117"/>
      <c r="K115" s="73">
        <v>19300</v>
      </c>
      <c r="L115" s="245"/>
      <c r="M115" s="245"/>
      <c r="N115" s="73"/>
      <c r="O115" s="117"/>
      <c r="P115" s="73"/>
      <c r="Q115" s="73"/>
      <c r="R115" s="73">
        <v>214896</v>
      </c>
      <c r="S115" s="73"/>
      <c r="T115" s="73">
        <v>150384</v>
      </c>
      <c r="U115" s="73"/>
      <c r="V115" s="73">
        <v>146712</v>
      </c>
      <c r="W115" s="73"/>
      <c r="X115" s="73"/>
      <c r="Y115" s="73"/>
      <c r="Z115" s="73"/>
      <c r="AA115" s="245"/>
      <c r="AB115" s="73"/>
      <c r="AC115" s="117">
        <v>0</v>
      </c>
      <c r="AD115" s="73"/>
      <c r="AE115" s="73"/>
      <c r="AF115" s="73"/>
      <c r="AG115" s="244">
        <f t="shared" si="43"/>
        <v>994213</v>
      </c>
    </row>
    <row r="116" spans="1:33" s="15" customFormat="1" ht="20.100000000000001" customHeight="1">
      <c r="A116" s="445"/>
      <c r="B116" s="38" t="s">
        <v>124</v>
      </c>
      <c r="C116" s="22" t="s">
        <v>5</v>
      </c>
      <c r="D116" s="73">
        <v>182520</v>
      </c>
      <c r="E116" s="73">
        <v>0</v>
      </c>
      <c r="F116" s="245">
        <v>2535</v>
      </c>
      <c r="G116" s="239"/>
      <c r="H116" s="117"/>
      <c r="I116" s="117"/>
      <c r="J116" s="117"/>
      <c r="K116" s="73"/>
      <c r="L116" s="245"/>
      <c r="M116" s="274"/>
      <c r="N116" s="239"/>
      <c r="O116" s="117"/>
      <c r="P116" s="73"/>
      <c r="Q116" s="73"/>
      <c r="R116" s="73">
        <v>182520</v>
      </c>
      <c r="S116" s="73"/>
      <c r="T116" s="73"/>
      <c r="U116" s="73"/>
      <c r="V116" s="73">
        <v>182520</v>
      </c>
      <c r="W116" s="73"/>
      <c r="X116" s="73"/>
      <c r="Y116" s="73"/>
      <c r="Z116" s="73"/>
      <c r="AA116" s="73"/>
      <c r="AB116" s="73"/>
      <c r="AC116" s="73">
        <v>0</v>
      </c>
      <c r="AD116" s="73"/>
      <c r="AE116" s="73"/>
      <c r="AF116" s="73"/>
      <c r="AG116" s="244">
        <f t="shared" si="43"/>
        <v>550095</v>
      </c>
    </row>
    <row r="117" spans="1:33" s="15" customFormat="1" ht="20.100000000000001" customHeight="1">
      <c r="A117" s="445"/>
      <c r="B117" s="38" t="s">
        <v>125</v>
      </c>
      <c r="C117" s="22" t="s">
        <v>5</v>
      </c>
      <c r="D117" s="73">
        <v>333600</v>
      </c>
      <c r="E117" s="73">
        <v>0</v>
      </c>
      <c r="F117" s="245"/>
      <c r="G117" s="73"/>
      <c r="H117" s="117"/>
      <c r="I117" s="117">
        <v>333600</v>
      </c>
      <c r="J117" s="117"/>
      <c r="K117" s="73"/>
      <c r="L117" s="245"/>
      <c r="M117" s="274"/>
      <c r="N117" s="239"/>
      <c r="O117" s="117"/>
      <c r="P117" s="73"/>
      <c r="Q117" s="73"/>
      <c r="R117" s="73"/>
      <c r="S117" s="73"/>
      <c r="T117" s="73">
        <v>417600</v>
      </c>
      <c r="U117" s="73"/>
      <c r="V117" s="73">
        <v>0</v>
      </c>
      <c r="W117" s="73"/>
      <c r="X117" s="73"/>
      <c r="Y117" s="73"/>
      <c r="Z117" s="73"/>
      <c r="AA117" s="73"/>
      <c r="AB117" s="73"/>
      <c r="AC117" s="73">
        <v>0</v>
      </c>
      <c r="AD117" s="73"/>
      <c r="AE117" s="73"/>
      <c r="AF117" s="73"/>
      <c r="AG117" s="244">
        <f t="shared" si="43"/>
        <v>1084800</v>
      </c>
    </row>
    <row r="118" spans="1:33" s="15" customFormat="1" ht="20.100000000000001" customHeight="1">
      <c r="A118" s="445"/>
      <c r="B118" s="38" t="s">
        <v>91</v>
      </c>
      <c r="C118" s="22" t="s">
        <v>5</v>
      </c>
      <c r="D118" s="73">
        <v>0</v>
      </c>
      <c r="E118" s="73">
        <v>0</v>
      </c>
      <c r="F118" s="245"/>
      <c r="G118" s="239"/>
      <c r="H118" s="117"/>
      <c r="I118" s="117"/>
      <c r="J118" s="117"/>
      <c r="K118" s="73"/>
      <c r="L118" s="245"/>
      <c r="M118" s="274"/>
      <c r="N118" s="239"/>
      <c r="O118" s="117"/>
      <c r="P118" s="73"/>
      <c r="Q118" s="73"/>
      <c r="R118" s="73"/>
      <c r="S118" s="73"/>
      <c r="T118" s="73"/>
      <c r="U118" s="73"/>
      <c r="V118" s="73">
        <v>0</v>
      </c>
      <c r="W118" s="73"/>
      <c r="X118" s="73"/>
      <c r="Y118" s="73"/>
      <c r="Z118" s="73"/>
      <c r="AA118" s="73"/>
      <c r="AB118" s="73"/>
      <c r="AC118" s="73">
        <v>0</v>
      </c>
      <c r="AD118" s="73"/>
      <c r="AE118" s="73"/>
      <c r="AF118" s="73"/>
      <c r="AG118" s="244">
        <f t="shared" si="43"/>
        <v>0</v>
      </c>
    </row>
    <row r="119" spans="1:33" s="15" customFormat="1" ht="20.100000000000001" customHeight="1">
      <c r="A119" s="445"/>
      <c r="B119" s="38" t="s">
        <v>93</v>
      </c>
      <c r="C119" s="22" t="s">
        <v>5</v>
      </c>
      <c r="D119" s="73">
        <v>30960</v>
      </c>
      <c r="E119" s="73">
        <v>0</v>
      </c>
      <c r="F119" s="245"/>
      <c r="G119" s="239"/>
      <c r="H119" s="117"/>
      <c r="I119" s="117">
        <v>122040</v>
      </c>
      <c r="J119" s="117"/>
      <c r="K119" s="73"/>
      <c r="L119" s="245"/>
      <c r="M119" s="245"/>
      <c r="N119" s="73"/>
      <c r="O119" s="117"/>
      <c r="P119" s="73"/>
      <c r="Q119" s="73"/>
      <c r="R119" s="73">
        <v>41280</v>
      </c>
      <c r="S119" s="73"/>
      <c r="T119" s="73">
        <v>53976</v>
      </c>
      <c r="U119" s="73"/>
      <c r="V119" s="73">
        <v>0</v>
      </c>
      <c r="W119" s="73"/>
      <c r="X119" s="73"/>
      <c r="Y119" s="73"/>
      <c r="Z119" s="73"/>
      <c r="AA119" s="73"/>
      <c r="AB119" s="73"/>
      <c r="AC119" s="73">
        <v>0</v>
      </c>
      <c r="AD119" s="73"/>
      <c r="AE119" s="73"/>
      <c r="AF119" s="73"/>
      <c r="AG119" s="244">
        <f t="shared" si="43"/>
        <v>248256</v>
      </c>
    </row>
    <row r="120" spans="1:33" s="15" customFormat="1" ht="20.100000000000001" customHeight="1">
      <c r="A120" s="445"/>
      <c r="B120" s="39" t="s">
        <v>96</v>
      </c>
      <c r="C120" s="22" t="s">
        <v>5</v>
      </c>
      <c r="D120" s="73">
        <v>22500</v>
      </c>
      <c r="E120" s="73">
        <v>0</v>
      </c>
      <c r="F120" s="245"/>
      <c r="G120" s="239"/>
      <c r="H120" s="117"/>
      <c r="I120" s="117">
        <v>48756</v>
      </c>
      <c r="J120" s="117"/>
      <c r="K120" s="73"/>
      <c r="L120" s="245"/>
      <c r="M120" s="239"/>
      <c r="N120" s="275"/>
      <c r="O120" s="253"/>
      <c r="P120" s="252"/>
      <c r="Q120" s="73"/>
      <c r="R120" s="73">
        <v>137510</v>
      </c>
      <c r="S120" s="73"/>
      <c r="T120" s="73"/>
      <c r="U120" s="73"/>
      <c r="V120" s="73">
        <v>0</v>
      </c>
      <c r="W120" s="73"/>
      <c r="X120" s="73"/>
      <c r="Y120" s="73"/>
      <c r="Z120" s="73"/>
      <c r="AA120" s="73"/>
      <c r="AB120" s="73"/>
      <c r="AC120" s="73">
        <v>0</v>
      </c>
      <c r="AD120" s="73"/>
      <c r="AE120" s="73"/>
      <c r="AF120" s="73"/>
      <c r="AG120" s="244">
        <f t="shared" si="43"/>
        <v>208766</v>
      </c>
    </row>
    <row r="121" spans="1:33" s="15" customFormat="1" ht="20.100000000000001" customHeight="1">
      <c r="A121" s="445"/>
      <c r="B121" s="39" t="s">
        <v>24</v>
      </c>
      <c r="C121" s="22" t="s">
        <v>5</v>
      </c>
      <c r="D121" s="73">
        <v>0</v>
      </c>
      <c r="E121" s="73">
        <v>0</v>
      </c>
      <c r="F121" s="245"/>
      <c r="G121" s="239"/>
      <c r="H121" s="117"/>
      <c r="I121" s="117"/>
      <c r="J121" s="117"/>
      <c r="K121" s="73"/>
      <c r="L121" s="245"/>
      <c r="M121" s="239"/>
      <c r="N121" s="276"/>
      <c r="O121" s="117"/>
      <c r="P121" s="73"/>
      <c r="Q121" s="73"/>
      <c r="R121" s="73">
        <v>47435.294117647063</v>
      </c>
      <c r="S121" s="73"/>
      <c r="T121" s="73"/>
      <c r="U121" s="73"/>
      <c r="V121" s="73">
        <v>0</v>
      </c>
      <c r="W121" s="73"/>
      <c r="X121" s="73"/>
      <c r="Y121" s="73"/>
      <c r="Z121" s="73"/>
      <c r="AA121" s="73"/>
      <c r="AB121" s="73"/>
      <c r="AC121" s="73">
        <v>24000</v>
      </c>
      <c r="AD121" s="73"/>
      <c r="AE121" s="73"/>
      <c r="AF121" s="73"/>
      <c r="AG121" s="244">
        <f t="shared" si="43"/>
        <v>71435.294117647063</v>
      </c>
    </row>
    <row r="122" spans="1:33" s="15" customFormat="1" ht="20.100000000000001" customHeight="1">
      <c r="A122" s="445"/>
      <c r="B122" s="39" t="s">
        <v>99</v>
      </c>
      <c r="C122" s="22" t="s">
        <v>5</v>
      </c>
      <c r="D122" s="73">
        <v>830196</v>
      </c>
      <c r="E122" s="73">
        <v>0</v>
      </c>
      <c r="F122" s="245"/>
      <c r="G122" s="73"/>
      <c r="H122" s="117"/>
      <c r="I122" s="117">
        <v>1054167</v>
      </c>
      <c r="J122" s="117"/>
      <c r="K122" s="73"/>
      <c r="L122" s="245"/>
      <c r="M122" s="73"/>
      <c r="N122" s="117"/>
      <c r="O122" s="117"/>
      <c r="P122" s="73"/>
      <c r="Q122" s="73"/>
      <c r="R122" s="73">
        <v>2388348</v>
      </c>
      <c r="S122" s="73"/>
      <c r="T122" s="73">
        <v>1070262</v>
      </c>
      <c r="U122" s="73"/>
      <c r="V122" s="73">
        <v>392830</v>
      </c>
      <c r="W122" s="73"/>
      <c r="X122" s="73">
        <v>28611</v>
      </c>
      <c r="Y122" s="73"/>
      <c r="Z122" s="73"/>
      <c r="AA122" s="73"/>
      <c r="AB122" s="73"/>
      <c r="AC122" s="73">
        <v>823062</v>
      </c>
      <c r="AD122" s="73"/>
      <c r="AE122" s="73"/>
      <c r="AF122" s="73"/>
      <c r="AG122" s="244">
        <f t="shared" si="43"/>
        <v>6587476</v>
      </c>
    </row>
    <row r="123" spans="1:33" s="15" customFormat="1" ht="20.100000000000001" customHeight="1">
      <c r="A123" s="445"/>
      <c r="B123" s="39" t="s">
        <v>101</v>
      </c>
      <c r="C123" s="22" t="s">
        <v>5</v>
      </c>
      <c r="D123" s="73">
        <v>38028</v>
      </c>
      <c r="E123" s="73">
        <v>0</v>
      </c>
      <c r="F123" s="245"/>
      <c r="G123" s="73"/>
      <c r="H123" s="117"/>
      <c r="I123" s="117"/>
      <c r="J123" s="117"/>
      <c r="K123" s="73"/>
      <c r="L123" s="245"/>
      <c r="M123" s="239"/>
      <c r="N123" s="276"/>
      <c r="O123" s="117"/>
      <c r="P123" s="117"/>
      <c r="Q123" s="117"/>
      <c r="R123" s="117"/>
      <c r="S123" s="73"/>
      <c r="T123" s="73">
        <v>57042</v>
      </c>
      <c r="U123" s="73"/>
      <c r="V123" s="73">
        <v>0</v>
      </c>
      <c r="W123" s="73"/>
      <c r="X123" s="73"/>
      <c r="Y123" s="73"/>
      <c r="Z123" s="73"/>
      <c r="AA123" s="73"/>
      <c r="AB123" s="73"/>
      <c r="AC123" s="73">
        <v>0</v>
      </c>
      <c r="AD123" s="73"/>
      <c r="AE123" s="73"/>
      <c r="AF123" s="73"/>
      <c r="AG123" s="244">
        <f t="shared" si="43"/>
        <v>95070</v>
      </c>
    </row>
    <row r="124" spans="1:33" s="15" customFormat="1" ht="20.100000000000001" customHeight="1">
      <c r="A124" s="445"/>
      <c r="B124" s="38" t="s">
        <v>103</v>
      </c>
      <c r="C124" s="361" t="s">
        <v>5</v>
      </c>
      <c r="D124" s="73">
        <v>717000</v>
      </c>
      <c r="E124" s="73">
        <v>9000</v>
      </c>
      <c r="F124" s="245"/>
      <c r="G124" s="73"/>
      <c r="H124" s="117">
        <v>4400</v>
      </c>
      <c r="I124" s="117">
        <v>1569750</v>
      </c>
      <c r="J124" s="117"/>
      <c r="K124" s="73">
        <v>5160</v>
      </c>
      <c r="L124" s="245"/>
      <c r="M124" s="73"/>
      <c r="N124" s="117"/>
      <c r="O124" s="117"/>
      <c r="P124" s="73">
        <v>67000</v>
      </c>
      <c r="Q124" s="73">
        <v>9000</v>
      </c>
      <c r="R124" s="73">
        <v>2492250</v>
      </c>
      <c r="S124" s="73"/>
      <c r="T124" s="73">
        <v>3067500</v>
      </c>
      <c r="U124" s="73"/>
      <c r="V124" s="73">
        <v>1080000</v>
      </c>
      <c r="W124" s="73"/>
      <c r="X124" s="73"/>
      <c r="Y124" s="73"/>
      <c r="Z124" s="73">
        <v>54000</v>
      </c>
      <c r="AA124" s="73"/>
      <c r="AB124" s="73"/>
      <c r="AC124" s="73">
        <v>1032000</v>
      </c>
      <c r="AD124" s="73"/>
      <c r="AE124" s="73">
        <v>29700</v>
      </c>
      <c r="AF124" s="73"/>
      <c r="AG124" s="244">
        <f t="shared" si="43"/>
        <v>10136760</v>
      </c>
    </row>
    <row r="125" spans="1:33" s="15" customFormat="1" ht="20.100000000000001" customHeight="1">
      <c r="A125" s="445"/>
      <c r="B125" s="39" t="s">
        <v>128</v>
      </c>
      <c r="C125" s="22" t="s">
        <v>5</v>
      </c>
      <c r="D125" s="73">
        <v>830810</v>
      </c>
      <c r="E125" s="73">
        <v>20149</v>
      </c>
      <c r="F125" s="245"/>
      <c r="G125" s="73"/>
      <c r="H125" s="117">
        <v>155496</v>
      </c>
      <c r="I125" s="117">
        <v>1668812</v>
      </c>
      <c r="J125" s="117"/>
      <c r="K125" s="73">
        <v>20149</v>
      </c>
      <c r="L125" s="245"/>
      <c r="M125" s="73"/>
      <c r="N125" s="117">
        <v>178564</v>
      </c>
      <c r="O125" s="117"/>
      <c r="P125" s="117"/>
      <c r="Q125" s="117"/>
      <c r="R125" s="117">
        <v>554094</v>
      </c>
      <c r="S125" s="73"/>
      <c r="T125" s="73">
        <v>535260</v>
      </c>
      <c r="U125" s="73"/>
      <c r="V125" s="73">
        <v>1351348</v>
      </c>
      <c r="W125" s="73">
        <v>90348</v>
      </c>
      <c r="X125" s="73"/>
      <c r="Y125" s="73"/>
      <c r="Z125" s="73"/>
      <c r="AA125" s="73"/>
      <c r="AB125" s="73"/>
      <c r="AC125" s="73">
        <v>682630</v>
      </c>
      <c r="AD125" s="73"/>
      <c r="AE125" s="73"/>
      <c r="AF125" s="73"/>
      <c r="AG125" s="244">
        <f t="shared" si="43"/>
        <v>6087660</v>
      </c>
    </row>
    <row r="126" spans="1:33" s="15" customFormat="1" ht="20.100000000000001" customHeight="1">
      <c r="A126" s="445"/>
      <c r="B126" s="39" t="s">
        <v>105</v>
      </c>
      <c r="C126" s="22" t="s">
        <v>5</v>
      </c>
      <c r="D126" s="73">
        <v>0</v>
      </c>
      <c r="E126" s="73">
        <v>0</v>
      </c>
      <c r="F126" s="245"/>
      <c r="G126" s="73"/>
      <c r="H126" s="117"/>
      <c r="I126" s="117"/>
      <c r="J126" s="117"/>
      <c r="K126" s="73"/>
      <c r="L126" s="245"/>
      <c r="M126" s="239"/>
      <c r="N126" s="276"/>
      <c r="O126" s="117"/>
      <c r="P126" s="73"/>
      <c r="Q126" s="73"/>
      <c r="R126" s="73"/>
      <c r="S126" s="73"/>
      <c r="T126" s="73"/>
      <c r="U126" s="73"/>
      <c r="V126" s="73">
        <v>0</v>
      </c>
      <c r="W126" s="73"/>
      <c r="X126" s="73"/>
      <c r="Y126" s="73">
        <v>2073826</v>
      </c>
      <c r="Z126" s="73"/>
      <c r="AA126" s="73"/>
      <c r="AB126" s="73"/>
      <c r="AC126" s="73">
        <v>0</v>
      </c>
      <c r="AD126" s="73"/>
      <c r="AE126" s="73"/>
      <c r="AF126" s="73"/>
      <c r="AG126" s="244">
        <f t="shared" si="43"/>
        <v>2073826</v>
      </c>
    </row>
    <row r="127" spans="1:33" s="15" customFormat="1" ht="20.100000000000001" customHeight="1">
      <c r="A127" s="445"/>
      <c r="B127" s="219" t="s">
        <v>229</v>
      </c>
      <c r="C127" s="22" t="s">
        <v>5</v>
      </c>
      <c r="D127" s="73">
        <v>0</v>
      </c>
      <c r="E127" s="73">
        <v>0</v>
      </c>
      <c r="F127" s="245"/>
      <c r="G127" s="73"/>
      <c r="H127" s="117"/>
      <c r="I127" s="117"/>
      <c r="J127" s="117"/>
      <c r="K127" s="73"/>
      <c r="L127" s="245"/>
      <c r="M127" s="239"/>
      <c r="N127" s="276"/>
      <c r="O127" s="117"/>
      <c r="P127" s="73"/>
      <c r="Q127" s="73"/>
      <c r="R127" s="73"/>
      <c r="S127" s="73"/>
      <c r="T127" s="73"/>
      <c r="U127" s="73"/>
      <c r="V127" s="73">
        <v>0</v>
      </c>
      <c r="W127" s="73"/>
      <c r="X127" s="73"/>
      <c r="Y127" s="73"/>
      <c r="Z127" s="73"/>
      <c r="AA127" s="73"/>
      <c r="AB127" s="73"/>
      <c r="AC127" s="73">
        <v>0</v>
      </c>
      <c r="AD127" s="73"/>
      <c r="AE127" s="73"/>
      <c r="AF127" s="73"/>
      <c r="AG127" s="244">
        <f t="shared" si="43"/>
        <v>0</v>
      </c>
    </row>
    <row r="128" spans="1:33" s="15" customFormat="1" ht="20.100000000000001" customHeight="1">
      <c r="A128" s="445"/>
      <c r="B128" s="39" t="s">
        <v>106</v>
      </c>
      <c r="C128" s="22" t="s">
        <v>5</v>
      </c>
      <c r="D128" s="73">
        <v>0</v>
      </c>
      <c r="E128" s="73">
        <v>0</v>
      </c>
      <c r="F128" s="245"/>
      <c r="G128" s="239"/>
      <c r="H128" s="117"/>
      <c r="I128" s="117"/>
      <c r="J128" s="117"/>
      <c r="K128" s="73"/>
      <c r="L128" s="245"/>
      <c r="M128" s="239"/>
      <c r="N128" s="276"/>
      <c r="O128" s="117"/>
      <c r="P128" s="73"/>
      <c r="Q128" s="73"/>
      <c r="R128" s="73"/>
      <c r="S128" s="73"/>
      <c r="T128" s="73"/>
      <c r="U128" s="73"/>
      <c r="V128" s="73">
        <v>24900</v>
      </c>
      <c r="W128" s="73"/>
      <c r="X128" s="73"/>
      <c r="Y128" s="73"/>
      <c r="Z128" s="73"/>
      <c r="AA128" s="73"/>
      <c r="AB128" s="73"/>
      <c r="AC128" s="73">
        <v>0</v>
      </c>
      <c r="AD128" s="73"/>
      <c r="AE128" s="73"/>
      <c r="AF128" s="73"/>
      <c r="AG128" s="244">
        <f t="shared" si="43"/>
        <v>24900</v>
      </c>
    </row>
    <row r="129" spans="1:35" s="15" customFormat="1" ht="20.100000000000001" customHeight="1">
      <c r="A129" s="445"/>
      <c r="B129" s="39" t="s">
        <v>107</v>
      </c>
      <c r="C129" s="22" t="s">
        <v>5</v>
      </c>
      <c r="D129" s="73">
        <v>0</v>
      </c>
      <c r="E129" s="73">
        <v>0</v>
      </c>
      <c r="F129" s="245"/>
      <c r="G129" s="239"/>
      <c r="H129" s="117"/>
      <c r="I129" s="117">
        <v>198396</v>
      </c>
      <c r="J129" s="117"/>
      <c r="K129" s="73"/>
      <c r="L129" s="245"/>
      <c r="M129" s="239"/>
      <c r="N129" s="276"/>
      <c r="O129" s="117"/>
      <c r="P129" s="73"/>
      <c r="Q129" s="73"/>
      <c r="R129" s="73"/>
      <c r="S129" s="73"/>
      <c r="T129" s="73"/>
      <c r="U129" s="73"/>
      <c r="V129" s="73">
        <v>0</v>
      </c>
      <c r="W129" s="73"/>
      <c r="X129" s="73"/>
      <c r="Y129" s="73"/>
      <c r="Z129" s="73"/>
      <c r="AA129" s="73"/>
      <c r="AB129" s="73"/>
      <c r="AC129" s="73">
        <v>0</v>
      </c>
      <c r="AD129" s="73"/>
      <c r="AE129" s="73"/>
      <c r="AF129" s="73"/>
      <c r="AG129" s="244">
        <f t="shared" si="43"/>
        <v>198396</v>
      </c>
    </row>
    <row r="130" spans="1:35" s="15" customFormat="1" ht="20.100000000000001" customHeight="1">
      <c r="A130" s="445"/>
      <c r="B130" s="39" t="s">
        <v>108</v>
      </c>
      <c r="C130" s="22" t="s">
        <v>5</v>
      </c>
      <c r="D130" s="73">
        <v>452000</v>
      </c>
      <c r="E130" s="73">
        <v>0</v>
      </c>
      <c r="F130" s="245"/>
      <c r="G130" s="239"/>
      <c r="H130" s="117"/>
      <c r="I130" s="117">
        <v>452000</v>
      </c>
      <c r="J130" s="117"/>
      <c r="K130" s="73"/>
      <c r="L130" s="245"/>
      <c r="M130" s="239"/>
      <c r="N130" s="276"/>
      <c r="O130" s="117"/>
      <c r="P130" s="73"/>
      <c r="Q130" s="73"/>
      <c r="R130" s="73"/>
      <c r="S130" s="73"/>
      <c r="T130" s="73">
        <v>108480</v>
      </c>
      <c r="U130" s="73"/>
      <c r="V130" s="73">
        <v>0</v>
      </c>
      <c r="W130" s="73"/>
      <c r="X130" s="73"/>
      <c r="Y130" s="73"/>
      <c r="Z130" s="73"/>
      <c r="AA130" s="73"/>
      <c r="AB130" s="73"/>
      <c r="AC130" s="73">
        <v>0</v>
      </c>
      <c r="AD130" s="73"/>
      <c r="AE130" s="73"/>
      <c r="AF130" s="73"/>
      <c r="AG130" s="244">
        <f t="shared" si="43"/>
        <v>1012480</v>
      </c>
    </row>
    <row r="131" spans="1:35" s="15" customFormat="1" ht="20.100000000000001" customHeight="1">
      <c r="A131" s="445"/>
      <c r="B131" s="39" t="s">
        <v>109</v>
      </c>
      <c r="C131" s="22" t="s">
        <v>5</v>
      </c>
      <c r="D131" s="73">
        <v>0</v>
      </c>
      <c r="E131" s="73">
        <v>0</v>
      </c>
      <c r="F131" s="245"/>
      <c r="G131" s="73"/>
      <c r="H131" s="117"/>
      <c r="I131" s="117">
        <v>17568</v>
      </c>
      <c r="J131" s="117"/>
      <c r="K131" s="73"/>
      <c r="L131" s="245"/>
      <c r="M131" s="73"/>
      <c r="N131" s="253"/>
      <c r="O131" s="253"/>
      <c r="P131" s="252"/>
      <c r="Q131" s="252">
        <v>8780</v>
      </c>
      <c r="R131" s="252">
        <v>70272</v>
      </c>
      <c r="S131" s="73"/>
      <c r="T131" s="73"/>
      <c r="U131" s="73"/>
      <c r="V131" s="73">
        <v>87840</v>
      </c>
      <c r="W131" s="73"/>
      <c r="X131" s="73"/>
      <c r="Y131" s="73"/>
      <c r="Z131" s="73"/>
      <c r="AA131" s="73"/>
      <c r="AB131" s="73"/>
      <c r="AC131" s="73">
        <v>0</v>
      </c>
      <c r="AD131" s="73"/>
      <c r="AE131" s="73"/>
      <c r="AF131" s="73"/>
      <c r="AG131" s="244">
        <f t="shared" si="43"/>
        <v>184460</v>
      </c>
      <c r="AI131" s="23"/>
    </row>
    <row r="132" spans="1:35" s="15" customFormat="1" ht="20.100000000000001" customHeight="1">
      <c r="A132" s="445"/>
      <c r="B132" s="39" t="s">
        <v>110</v>
      </c>
      <c r="C132" s="22" t="s">
        <v>5</v>
      </c>
      <c r="D132" s="73">
        <v>343848</v>
      </c>
      <c r="E132" s="73">
        <v>0</v>
      </c>
      <c r="F132" s="245"/>
      <c r="G132" s="73"/>
      <c r="H132" s="117"/>
      <c r="I132" s="117"/>
      <c r="J132" s="117"/>
      <c r="K132" s="73"/>
      <c r="L132" s="245"/>
      <c r="M132" s="73"/>
      <c r="N132" s="253"/>
      <c r="O132" s="253"/>
      <c r="P132" s="252">
        <v>11382</v>
      </c>
      <c r="Q132" s="252"/>
      <c r="R132" s="252"/>
      <c r="S132" s="73"/>
      <c r="T132" s="73">
        <v>1016583</v>
      </c>
      <c r="U132" s="73"/>
      <c r="V132" s="73">
        <v>361300</v>
      </c>
      <c r="W132" s="73"/>
      <c r="X132" s="73"/>
      <c r="Y132" s="73"/>
      <c r="Z132" s="73"/>
      <c r="AA132" s="73"/>
      <c r="AB132" s="73"/>
      <c r="AC132" s="73">
        <v>262500</v>
      </c>
      <c r="AD132" s="73"/>
      <c r="AE132" s="73"/>
      <c r="AF132" s="73"/>
      <c r="AG132" s="244">
        <f t="shared" si="43"/>
        <v>1995613</v>
      </c>
    </row>
    <row r="133" spans="1:35" s="15" customFormat="1" ht="20.100000000000001" customHeight="1">
      <c r="A133" s="445"/>
      <c r="B133" s="39" t="s">
        <v>111</v>
      </c>
      <c r="C133" s="22" t="s">
        <v>5</v>
      </c>
      <c r="D133" s="73">
        <v>0</v>
      </c>
      <c r="E133" s="73">
        <v>0</v>
      </c>
      <c r="F133" s="245"/>
      <c r="G133" s="239"/>
      <c r="H133" s="117"/>
      <c r="I133" s="117"/>
      <c r="J133" s="117"/>
      <c r="K133" s="73"/>
      <c r="L133" s="245"/>
      <c r="M133" s="239"/>
      <c r="N133" s="275"/>
      <c r="O133" s="253"/>
      <c r="P133" s="252"/>
      <c r="Q133" s="252"/>
      <c r="R133" s="252"/>
      <c r="S133" s="73"/>
      <c r="T133" s="73"/>
      <c r="U133" s="73"/>
      <c r="V133" s="73">
        <v>0</v>
      </c>
      <c r="W133" s="73"/>
      <c r="X133" s="73"/>
      <c r="Y133" s="73"/>
      <c r="Z133" s="73"/>
      <c r="AA133" s="73"/>
      <c r="AB133" s="73"/>
      <c r="AC133" s="73">
        <v>0</v>
      </c>
      <c r="AD133" s="73"/>
      <c r="AE133" s="73">
        <v>53076</v>
      </c>
      <c r="AF133" s="73"/>
      <c r="AG133" s="244">
        <f t="shared" si="43"/>
        <v>53076</v>
      </c>
    </row>
    <row r="134" spans="1:35" s="15" customFormat="1" ht="20.100000000000001" customHeight="1">
      <c r="A134" s="445"/>
      <c r="B134" s="39" t="s">
        <v>112</v>
      </c>
      <c r="C134" s="22" t="s">
        <v>5</v>
      </c>
      <c r="D134" s="73">
        <v>0</v>
      </c>
      <c r="E134" s="73">
        <v>0</v>
      </c>
      <c r="F134" s="245"/>
      <c r="G134" s="239"/>
      <c r="H134" s="117"/>
      <c r="I134" s="117"/>
      <c r="J134" s="117"/>
      <c r="K134" s="73"/>
      <c r="L134" s="245"/>
      <c r="M134" s="239"/>
      <c r="N134" s="275"/>
      <c r="O134" s="253"/>
      <c r="P134" s="252"/>
      <c r="Q134" s="252"/>
      <c r="R134" s="252"/>
      <c r="S134" s="73"/>
      <c r="T134" s="73"/>
      <c r="U134" s="73"/>
      <c r="V134" s="73">
        <v>0</v>
      </c>
      <c r="W134" s="73"/>
      <c r="X134" s="73"/>
      <c r="Y134" s="73"/>
      <c r="Z134" s="73"/>
      <c r="AA134" s="73"/>
      <c r="AB134" s="73"/>
      <c r="AC134" s="73">
        <v>0</v>
      </c>
      <c r="AD134" s="73"/>
      <c r="AE134" s="73"/>
      <c r="AF134" s="73"/>
      <c r="AG134" s="244">
        <f t="shared" si="43"/>
        <v>0</v>
      </c>
    </row>
    <row r="135" spans="1:35" s="15" customFormat="1" ht="20.100000000000001" customHeight="1">
      <c r="A135" s="445"/>
      <c r="B135" s="39" t="s">
        <v>113</v>
      </c>
      <c r="C135" s="22" t="s">
        <v>5</v>
      </c>
      <c r="D135" s="73">
        <v>0</v>
      </c>
      <c r="E135" s="73">
        <v>0</v>
      </c>
      <c r="F135" s="245"/>
      <c r="G135" s="239"/>
      <c r="H135" s="117"/>
      <c r="I135" s="117"/>
      <c r="J135" s="117"/>
      <c r="K135" s="73"/>
      <c r="L135" s="245"/>
      <c r="M135" s="239"/>
      <c r="N135" s="275"/>
      <c r="O135" s="253"/>
      <c r="P135" s="252"/>
      <c r="Q135" s="252"/>
      <c r="R135" s="252">
        <v>35220</v>
      </c>
      <c r="S135" s="73"/>
      <c r="T135" s="73">
        <v>52830</v>
      </c>
      <c r="U135" s="73"/>
      <c r="V135" s="73">
        <v>0</v>
      </c>
      <c r="W135" s="73"/>
      <c r="X135" s="73"/>
      <c r="Y135" s="73"/>
      <c r="Z135" s="73"/>
      <c r="AA135" s="73"/>
      <c r="AB135" s="73"/>
      <c r="AC135" s="73">
        <v>0</v>
      </c>
      <c r="AD135" s="73"/>
      <c r="AE135" s="73"/>
      <c r="AF135" s="73"/>
      <c r="AG135" s="244">
        <f t="shared" si="43"/>
        <v>88050</v>
      </c>
    </row>
    <row r="136" spans="1:35" s="15" customFormat="1" ht="20.100000000000001" customHeight="1">
      <c r="A136" s="445"/>
      <c r="B136" s="39" t="s">
        <v>26</v>
      </c>
      <c r="C136" s="22" t="s">
        <v>5</v>
      </c>
      <c r="D136" s="73">
        <v>261300</v>
      </c>
      <c r="E136" s="73">
        <v>0</v>
      </c>
      <c r="F136" s="245"/>
      <c r="G136" s="239"/>
      <c r="H136" s="117"/>
      <c r="I136" s="117"/>
      <c r="J136" s="117"/>
      <c r="K136" s="73"/>
      <c r="L136" s="245"/>
      <c r="M136" s="73"/>
      <c r="N136" s="253"/>
      <c r="O136" s="253"/>
      <c r="P136" s="252"/>
      <c r="Q136" s="252"/>
      <c r="R136" s="252">
        <v>298320</v>
      </c>
      <c r="S136" s="73"/>
      <c r="T136" s="73"/>
      <c r="U136" s="73"/>
      <c r="V136" s="73">
        <v>0</v>
      </c>
      <c r="W136" s="73"/>
      <c r="X136" s="73"/>
      <c r="Y136" s="73"/>
      <c r="Z136" s="73"/>
      <c r="AA136" s="73"/>
      <c r="AB136" s="73"/>
      <c r="AC136" s="73">
        <v>0</v>
      </c>
      <c r="AD136" s="73"/>
      <c r="AE136" s="73"/>
      <c r="AF136" s="73"/>
      <c r="AG136" s="244">
        <f t="shared" si="43"/>
        <v>559620</v>
      </c>
    </row>
    <row r="137" spans="1:35" s="15" customFormat="1" ht="20.100000000000001" customHeight="1">
      <c r="A137" s="445"/>
      <c r="B137" s="39" t="s">
        <v>114</v>
      </c>
      <c r="C137" s="22" t="s">
        <v>5</v>
      </c>
      <c r="D137" s="73">
        <v>177126</v>
      </c>
      <c r="E137" s="73">
        <v>0</v>
      </c>
      <c r="F137" s="245"/>
      <c r="G137" s="73"/>
      <c r="H137" s="117"/>
      <c r="I137" s="117">
        <v>208500</v>
      </c>
      <c r="J137" s="117"/>
      <c r="K137" s="73"/>
      <c r="L137" s="245"/>
      <c r="M137" s="73"/>
      <c r="N137" s="253"/>
      <c r="O137" s="253"/>
      <c r="P137" s="252"/>
      <c r="Q137" s="252"/>
      <c r="R137" s="252">
        <v>94848</v>
      </c>
      <c r="S137" s="73"/>
      <c r="T137" s="73">
        <v>68208</v>
      </c>
      <c r="U137" s="73"/>
      <c r="V137" s="73">
        <v>35280</v>
      </c>
      <c r="W137" s="73"/>
      <c r="X137" s="73"/>
      <c r="Y137" s="73"/>
      <c r="Z137" s="73"/>
      <c r="AA137" s="73"/>
      <c r="AB137" s="73"/>
      <c r="AC137" s="73">
        <v>24860</v>
      </c>
      <c r="AD137" s="73"/>
      <c r="AE137" s="73"/>
      <c r="AF137" s="73"/>
      <c r="AG137" s="244">
        <f t="shared" si="43"/>
        <v>608822</v>
      </c>
    </row>
    <row r="138" spans="1:35" s="15" customFormat="1" ht="20.100000000000001" customHeight="1">
      <c r="A138" s="445"/>
      <c r="B138" s="39" t="s">
        <v>133</v>
      </c>
      <c r="C138" s="22" t="s">
        <v>5</v>
      </c>
      <c r="D138" s="73">
        <v>230544</v>
      </c>
      <c r="E138" s="73">
        <v>0</v>
      </c>
      <c r="F138" s="245">
        <v>7860</v>
      </c>
      <c r="G138" s="73"/>
      <c r="H138" s="117"/>
      <c r="I138" s="117"/>
      <c r="J138" s="117"/>
      <c r="K138" s="73"/>
      <c r="L138" s="245"/>
      <c r="M138" s="239"/>
      <c r="N138" s="275"/>
      <c r="O138" s="253"/>
      <c r="P138" s="252"/>
      <c r="Q138" s="252"/>
      <c r="R138" s="252"/>
      <c r="S138" s="73"/>
      <c r="T138" s="73"/>
      <c r="U138" s="73"/>
      <c r="V138" s="73">
        <v>125760</v>
      </c>
      <c r="W138" s="73"/>
      <c r="X138" s="73"/>
      <c r="Y138" s="73"/>
      <c r="Z138" s="73"/>
      <c r="AA138" s="73"/>
      <c r="AB138" s="73"/>
      <c r="AC138" s="73">
        <v>0</v>
      </c>
      <c r="AD138" s="73"/>
      <c r="AE138" s="73"/>
      <c r="AF138" s="73"/>
      <c r="AG138" s="244">
        <f t="shared" si="43"/>
        <v>364164</v>
      </c>
    </row>
    <row r="139" spans="1:35" s="15" customFormat="1" ht="19.5" customHeight="1">
      <c r="A139" s="445"/>
      <c r="B139" s="39" t="s">
        <v>131</v>
      </c>
      <c r="C139" s="22" t="s">
        <v>5</v>
      </c>
      <c r="D139" s="73">
        <v>234624</v>
      </c>
      <c r="E139" s="73">
        <v>0</v>
      </c>
      <c r="F139" s="245"/>
      <c r="G139" s="73"/>
      <c r="H139" s="117"/>
      <c r="I139" s="117">
        <v>127056</v>
      </c>
      <c r="J139" s="117"/>
      <c r="K139" s="73"/>
      <c r="L139" s="245"/>
      <c r="M139" s="73"/>
      <c r="N139" s="73"/>
      <c r="O139" s="253"/>
      <c r="P139" s="252"/>
      <c r="Q139" s="252">
        <v>5882</v>
      </c>
      <c r="R139" s="252">
        <v>787776</v>
      </c>
      <c r="S139" s="73"/>
      <c r="T139" s="73">
        <v>141168</v>
      </c>
      <c r="U139" s="73"/>
      <c r="V139" s="73">
        <v>117168</v>
      </c>
      <c r="W139" s="73"/>
      <c r="X139" s="73"/>
      <c r="Y139" s="73"/>
      <c r="Z139" s="73"/>
      <c r="AA139" s="73"/>
      <c r="AB139" s="73"/>
      <c r="AC139" s="73">
        <v>600000</v>
      </c>
      <c r="AD139" s="73"/>
      <c r="AE139" s="73"/>
      <c r="AF139" s="73"/>
      <c r="AG139" s="244">
        <f t="shared" si="43"/>
        <v>2013674</v>
      </c>
    </row>
    <row r="140" spans="1:35" s="15" customFormat="1" ht="20.100000000000001" customHeight="1">
      <c r="A140" s="445"/>
      <c r="B140" s="39" t="s">
        <v>115</v>
      </c>
      <c r="C140" s="22" t="s">
        <v>5</v>
      </c>
      <c r="D140" s="73">
        <v>2385169</v>
      </c>
      <c r="E140" s="73">
        <v>8470</v>
      </c>
      <c r="F140" s="245">
        <v>36706</v>
      </c>
      <c r="G140" s="73">
        <v>3765</v>
      </c>
      <c r="H140" s="117">
        <v>79062</v>
      </c>
      <c r="I140" s="117">
        <v>6674158</v>
      </c>
      <c r="J140" s="117">
        <v>163764</v>
      </c>
      <c r="K140" s="73"/>
      <c r="L140" s="245"/>
      <c r="M140" s="73"/>
      <c r="N140" s="73"/>
      <c r="O140" s="253">
        <v>61878</v>
      </c>
      <c r="P140" s="252"/>
      <c r="Q140" s="252"/>
      <c r="R140" s="252">
        <v>1660272</v>
      </c>
      <c r="S140" s="73"/>
      <c r="T140" s="73">
        <v>1794140</v>
      </c>
      <c r="U140" s="73"/>
      <c r="V140" s="73">
        <v>307254</v>
      </c>
      <c r="W140" s="73">
        <v>53652</v>
      </c>
      <c r="X140" s="73"/>
      <c r="Y140" s="73"/>
      <c r="Z140" s="73">
        <v>44710</v>
      </c>
      <c r="AA140" s="73">
        <v>4549</v>
      </c>
      <c r="AB140" s="73"/>
      <c r="AC140" s="73">
        <v>872760</v>
      </c>
      <c r="AD140" s="73"/>
      <c r="AE140" s="73"/>
      <c r="AF140" s="73">
        <v>15235</v>
      </c>
      <c r="AG140" s="244">
        <f t="shared" si="43"/>
        <v>14165544</v>
      </c>
    </row>
    <row r="141" spans="1:35" s="15" customFormat="1" ht="20.100000000000001" customHeight="1">
      <c r="A141" s="445"/>
      <c r="B141" s="39" t="s">
        <v>27</v>
      </c>
      <c r="C141" s="22" t="s">
        <v>5</v>
      </c>
      <c r="D141" s="73">
        <v>0</v>
      </c>
      <c r="E141" s="73">
        <v>0</v>
      </c>
      <c r="F141" s="245"/>
      <c r="G141" s="73"/>
      <c r="H141" s="117"/>
      <c r="I141" s="117"/>
      <c r="J141" s="117"/>
      <c r="K141" s="73"/>
      <c r="L141" s="245"/>
      <c r="M141" s="239"/>
      <c r="N141" s="239"/>
      <c r="O141" s="253"/>
      <c r="P141" s="252"/>
      <c r="Q141" s="252"/>
      <c r="R141" s="252"/>
      <c r="S141" s="73"/>
      <c r="T141" s="73"/>
      <c r="U141" s="73"/>
      <c r="V141" s="73">
        <v>2563000</v>
      </c>
      <c r="W141" s="73"/>
      <c r="X141" s="73"/>
      <c r="Y141" s="73"/>
      <c r="Z141" s="73"/>
      <c r="AA141" s="73"/>
      <c r="AB141" s="73"/>
      <c r="AC141" s="73">
        <v>0</v>
      </c>
      <c r="AD141" s="73"/>
      <c r="AE141" s="73"/>
      <c r="AF141" s="73"/>
      <c r="AG141" s="244">
        <f t="shared" si="43"/>
        <v>2563000</v>
      </c>
    </row>
    <row r="142" spans="1:35" s="15" customFormat="1" ht="19.5" customHeight="1">
      <c r="A142" s="445"/>
      <c r="B142" s="39" t="s">
        <v>37</v>
      </c>
      <c r="C142" s="22" t="s">
        <v>5</v>
      </c>
      <c r="D142" s="73">
        <v>360000</v>
      </c>
      <c r="E142" s="73">
        <v>0</v>
      </c>
      <c r="F142" s="245">
        <v>4000</v>
      </c>
      <c r="G142" s="73"/>
      <c r="H142" s="117">
        <f>63000+212000</f>
        <v>275000</v>
      </c>
      <c r="I142" s="117">
        <v>480000</v>
      </c>
      <c r="J142" s="117"/>
      <c r="K142" s="73"/>
      <c r="L142" s="245"/>
      <c r="M142" s="73"/>
      <c r="N142" s="73">
        <v>490000</v>
      </c>
      <c r="O142" s="117"/>
      <c r="P142" s="73">
        <v>19000</v>
      </c>
      <c r="Q142" s="73"/>
      <c r="R142" s="73">
        <v>192000</v>
      </c>
      <c r="S142" s="73">
        <f>7000+3000</f>
        <v>10000</v>
      </c>
      <c r="T142" s="73"/>
      <c r="U142" s="73">
        <f>14000+800</f>
        <v>14800</v>
      </c>
      <c r="V142" s="73">
        <v>744000</v>
      </c>
      <c r="W142" s="73"/>
      <c r="X142" s="73"/>
      <c r="Y142" s="73"/>
      <c r="Z142" s="73"/>
      <c r="AA142" s="73">
        <v>15000</v>
      </c>
      <c r="AB142" s="73"/>
      <c r="AC142" s="73">
        <v>480000</v>
      </c>
      <c r="AD142" s="73"/>
      <c r="AE142" s="73"/>
      <c r="AF142" s="73"/>
      <c r="AG142" s="244">
        <f t="shared" si="43"/>
        <v>3083800</v>
      </c>
    </row>
    <row r="143" spans="1:35" s="15" customFormat="1" ht="20.100000000000001" customHeight="1">
      <c r="A143" s="445"/>
      <c r="B143" s="219" t="s">
        <v>230</v>
      </c>
      <c r="C143" s="22" t="s">
        <v>5</v>
      </c>
      <c r="D143" s="73">
        <v>1789920</v>
      </c>
      <c r="E143" s="73">
        <v>0</v>
      </c>
      <c r="F143" s="245"/>
      <c r="G143" s="73"/>
      <c r="H143" s="117"/>
      <c r="I143" s="117">
        <v>2024400</v>
      </c>
      <c r="J143" s="117"/>
      <c r="K143" s="73"/>
      <c r="L143" s="245"/>
      <c r="M143" s="73"/>
      <c r="N143" s="73"/>
      <c r="O143" s="259"/>
      <c r="P143" s="260"/>
      <c r="Q143" s="73">
        <v>1180</v>
      </c>
      <c r="R143" s="73">
        <v>1037760</v>
      </c>
      <c r="S143" s="73"/>
      <c r="T143" s="73">
        <v>1569600</v>
      </c>
      <c r="U143" s="73"/>
      <c r="V143" s="73">
        <v>0</v>
      </c>
      <c r="W143" s="73"/>
      <c r="X143" s="73"/>
      <c r="Y143" s="73"/>
      <c r="Z143" s="73"/>
      <c r="AA143" s="73"/>
      <c r="AB143" s="73"/>
      <c r="AC143" s="73">
        <v>1080300</v>
      </c>
      <c r="AD143" s="73"/>
      <c r="AE143" s="73"/>
      <c r="AF143" s="73"/>
      <c r="AG143" s="244">
        <f t="shared" si="43"/>
        <v>7503160</v>
      </c>
    </row>
    <row r="144" spans="1:35" s="15" customFormat="1" ht="20.100000000000001" customHeight="1">
      <c r="A144" s="445"/>
      <c r="B144" s="219" t="s">
        <v>231</v>
      </c>
      <c r="C144" s="22" t="s">
        <v>5</v>
      </c>
      <c r="D144" s="73">
        <v>0</v>
      </c>
      <c r="E144" s="73">
        <v>0</v>
      </c>
      <c r="F144" s="245"/>
      <c r="G144" s="73"/>
      <c r="H144" s="117"/>
      <c r="I144" s="117">
        <v>34944</v>
      </c>
      <c r="J144" s="117"/>
      <c r="K144" s="73"/>
      <c r="L144" s="245"/>
      <c r="M144" s="73"/>
      <c r="N144" s="73"/>
      <c r="O144" s="259"/>
      <c r="P144" s="260"/>
      <c r="Q144" s="73"/>
      <c r="R144" s="73">
        <v>58800</v>
      </c>
      <c r="S144" s="73"/>
      <c r="T144" s="73">
        <v>78300</v>
      </c>
      <c r="U144" s="73"/>
      <c r="V144" s="73">
        <v>142668</v>
      </c>
      <c r="W144" s="73"/>
      <c r="X144" s="73"/>
      <c r="Y144" s="73"/>
      <c r="Z144" s="73"/>
      <c r="AA144" s="73"/>
      <c r="AB144" s="73"/>
      <c r="AC144" s="73">
        <v>0</v>
      </c>
      <c r="AD144" s="73"/>
      <c r="AE144" s="73"/>
      <c r="AF144" s="73"/>
      <c r="AG144" s="244">
        <f t="shared" si="43"/>
        <v>314712</v>
      </c>
    </row>
    <row r="145" spans="1:38" s="15" customFormat="1" ht="20.100000000000001" customHeight="1">
      <c r="A145" s="445"/>
      <c r="B145" s="219" t="s">
        <v>233</v>
      </c>
      <c r="C145" s="22" t="s">
        <v>5</v>
      </c>
      <c r="D145" s="73">
        <v>0</v>
      </c>
      <c r="E145" s="73">
        <v>0</v>
      </c>
      <c r="F145" s="245"/>
      <c r="G145" s="73"/>
      <c r="H145" s="117"/>
      <c r="I145" s="117">
        <v>95040</v>
      </c>
      <c r="J145" s="117"/>
      <c r="K145" s="73"/>
      <c r="L145" s="245"/>
      <c r="M145" s="73"/>
      <c r="N145" s="73"/>
      <c r="O145" s="259"/>
      <c r="P145" s="260"/>
      <c r="Q145" s="73"/>
      <c r="R145" s="73"/>
      <c r="S145" s="73"/>
      <c r="T145" s="73"/>
      <c r="U145" s="73"/>
      <c r="V145" s="73">
        <v>0</v>
      </c>
      <c r="W145" s="73"/>
      <c r="X145" s="73"/>
      <c r="Y145" s="73"/>
      <c r="Z145" s="73"/>
      <c r="AA145" s="73"/>
      <c r="AB145" s="73"/>
      <c r="AC145" s="73">
        <v>0</v>
      </c>
      <c r="AD145" s="73"/>
      <c r="AE145" s="73"/>
      <c r="AF145" s="73"/>
      <c r="AG145" s="244">
        <f t="shared" si="43"/>
        <v>95040</v>
      </c>
    </row>
    <row r="146" spans="1:38" s="15" customFormat="1" ht="20.100000000000001" customHeight="1">
      <c r="A146" s="445"/>
      <c r="B146" s="219" t="s">
        <v>248</v>
      </c>
      <c r="C146" s="22" t="s">
        <v>5</v>
      </c>
      <c r="D146" s="73">
        <v>2097384</v>
      </c>
      <c r="E146" s="73">
        <v>0</v>
      </c>
      <c r="F146" s="245">
        <v>57669</v>
      </c>
      <c r="G146" s="73"/>
      <c r="H146" s="117"/>
      <c r="I146" s="117">
        <v>1631808</v>
      </c>
      <c r="J146" s="117"/>
      <c r="K146" s="73"/>
      <c r="L146" s="245"/>
      <c r="M146" s="73"/>
      <c r="N146" s="73"/>
      <c r="O146" s="259"/>
      <c r="P146" s="260"/>
      <c r="Q146" s="73"/>
      <c r="R146" s="73">
        <v>259848</v>
      </c>
      <c r="S146" s="73"/>
      <c r="T146" s="73">
        <v>241344</v>
      </c>
      <c r="U146" s="73"/>
      <c r="V146" s="73">
        <v>948000</v>
      </c>
      <c r="W146" s="73"/>
      <c r="X146" s="73"/>
      <c r="Y146" s="73"/>
      <c r="Z146" s="73"/>
      <c r="AA146" s="73"/>
      <c r="AB146" s="73"/>
      <c r="AC146" s="73">
        <v>1652844</v>
      </c>
      <c r="AD146" s="73"/>
      <c r="AE146" s="73">
        <v>5028</v>
      </c>
      <c r="AF146" s="73"/>
      <c r="AG146" s="244">
        <f t="shared" si="43"/>
        <v>6893925</v>
      </c>
    </row>
    <row r="147" spans="1:38" s="15" customFormat="1" ht="20.100000000000001" customHeight="1">
      <c r="A147" s="445"/>
      <c r="B147" s="219" t="s">
        <v>246</v>
      </c>
      <c r="C147" s="22" t="s">
        <v>5</v>
      </c>
      <c r="D147" s="73">
        <v>0</v>
      </c>
      <c r="E147" s="73">
        <v>0</v>
      </c>
      <c r="F147" s="245"/>
      <c r="G147" s="73"/>
      <c r="H147" s="117"/>
      <c r="I147" s="117"/>
      <c r="J147" s="117"/>
      <c r="K147" s="73"/>
      <c r="L147" s="245"/>
      <c r="M147" s="73"/>
      <c r="N147" s="73"/>
      <c r="O147" s="259"/>
      <c r="P147" s="260">
        <v>26824</v>
      </c>
      <c r="Q147" s="73"/>
      <c r="R147" s="73"/>
      <c r="S147" s="73"/>
      <c r="T147" s="73"/>
      <c r="U147" s="73"/>
      <c r="V147" s="73"/>
      <c r="W147" s="73"/>
      <c r="X147" s="73"/>
      <c r="Y147" s="73"/>
      <c r="Z147" s="73">
        <v>31760</v>
      </c>
      <c r="AA147" s="73"/>
      <c r="AB147" s="73"/>
      <c r="AC147" s="73">
        <v>0</v>
      </c>
      <c r="AD147" s="73">
        <v>189528</v>
      </c>
      <c r="AE147" s="73"/>
      <c r="AF147" s="73"/>
      <c r="AG147" s="244">
        <f t="shared" si="43"/>
        <v>248112</v>
      </c>
    </row>
    <row r="148" spans="1:38" s="15" customFormat="1" ht="20.100000000000001" customHeight="1">
      <c r="A148" s="445"/>
      <c r="B148" s="124" t="s">
        <v>143</v>
      </c>
      <c r="C148" s="22" t="s">
        <v>5</v>
      </c>
      <c r="D148" s="73">
        <v>0</v>
      </c>
      <c r="E148" s="73">
        <v>0</v>
      </c>
      <c r="F148" s="245"/>
      <c r="G148" s="73"/>
      <c r="H148" s="117"/>
      <c r="I148" s="117"/>
      <c r="J148" s="117"/>
      <c r="K148" s="73"/>
      <c r="L148" s="245"/>
      <c r="M148" s="73"/>
      <c r="N148" s="73"/>
      <c r="O148" s="259"/>
      <c r="P148" s="260"/>
      <c r="Q148" s="73"/>
      <c r="R148" s="73"/>
      <c r="S148" s="73"/>
      <c r="T148" s="73"/>
      <c r="U148" s="73"/>
      <c r="V148" s="73">
        <v>0</v>
      </c>
      <c r="W148" s="73"/>
      <c r="X148" s="73"/>
      <c r="Y148" s="73"/>
      <c r="Z148" s="73"/>
      <c r="AA148" s="73"/>
      <c r="AB148" s="73"/>
      <c r="AC148" s="73">
        <v>0</v>
      </c>
      <c r="AD148" s="73"/>
      <c r="AE148" s="73"/>
      <c r="AF148" s="73"/>
      <c r="AG148" s="244">
        <f t="shared" si="43"/>
        <v>0</v>
      </c>
    </row>
    <row r="149" spans="1:38" s="15" customFormat="1" ht="20.100000000000001" customHeight="1">
      <c r="A149" s="445"/>
      <c r="B149" s="219" t="s">
        <v>263</v>
      </c>
      <c r="C149" s="22"/>
      <c r="D149" s="73"/>
      <c r="E149" s="73"/>
      <c r="F149" s="245"/>
      <c r="G149" s="73"/>
      <c r="H149" s="117"/>
      <c r="I149" s="117"/>
      <c r="J149" s="117"/>
      <c r="K149" s="73"/>
      <c r="L149" s="245"/>
      <c r="M149" s="73"/>
      <c r="N149" s="73"/>
      <c r="O149" s="259"/>
      <c r="P149" s="260"/>
      <c r="Q149" s="73"/>
      <c r="R149" s="73"/>
      <c r="S149" s="73"/>
      <c r="T149" s="73">
        <v>600847.0588235294</v>
      </c>
      <c r="U149" s="73"/>
      <c r="V149" s="73">
        <v>0</v>
      </c>
      <c r="W149" s="73"/>
      <c r="X149" s="73"/>
      <c r="Y149" s="73"/>
      <c r="Z149" s="73"/>
      <c r="AA149" s="73"/>
      <c r="AB149" s="73"/>
      <c r="AC149" s="73">
        <v>0</v>
      </c>
      <c r="AD149" s="73"/>
      <c r="AE149" s="73"/>
      <c r="AF149" s="73"/>
      <c r="AG149" s="244"/>
    </row>
    <row r="150" spans="1:38" s="15" customFormat="1" ht="20.100000000000001" customHeight="1">
      <c r="A150" s="445"/>
      <c r="B150" s="156" t="s">
        <v>282</v>
      </c>
      <c r="C150" s="22"/>
      <c r="D150" s="73"/>
      <c r="E150" s="73"/>
      <c r="F150" s="245"/>
      <c r="G150" s="73"/>
      <c r="H150" s="117"/>
      <c r="I150" s="117"/>
      <c r="J150" s="117"/>
      <c r="K150" s="73"/>
      <c r="L150" s="245"/>
      <c r="M150" s="73"/>
      <c r="N150" s="73"/>
      <c r="O150" s="259"/>
      <c r="P150" s="260"/>
      <c r="Q150" s="73"/>
      <c r="R150" s="73"/>
      <c r="S150" s="73"/>
      <c r="T150" s="73"/>
      <c r="U150" s="73"/>
      <c r="V150" s="73">
        <v>157300</v>
      </c>
      <c r="W150" s="73"/>
      <c r="X150" s="73"/>
      <c r="Y150" s="73">
        <v>164016</v>
      </c>
      <c r="Z150" s="73"/>
      <c r="AA150" s="73"/>
      <c r="AB150" s="73"/>
      <c r="AC150" s="73">
        <v>484118</v>
      </c>
      <c r="AD150" s="73"/>
      <c r="AE150" s="73"/>
      <c r="AF150" s="73"/>
      <c r="AG150" s="244"/>
    </row>
    <row r="151" spans="1:38" s="15" customFormat="1" ht="20.100000000000001" customHeight="1">
      <c r="A151" s="445"/>
      <c r="B151" s="352" t="s">
        <v>291</v>
      </c>
      <c r="C151" s="22"/>
      <c r="D151" s="73"/>
      <c r="E151" s="73"/>
      <c r="F151" s="245"/>
      <c r="G151" s="73"/>
      <c r="H151" s="117"/>
      <c r="I151" s="117"/>
      <c r="J151" s="117"/>
      <c r="K151" s="73"/>
      <c r="L151" s="245"/>
      <c r="M151" s="73"/>
      <c r="N151" s="73"/>
      <c r="O151" s="259"/>
      <c r="P151" s="260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>
        <v>357000</v>
      </c>
      <c r="AC151" s="73">
        <v>0</v>
      </c>
      <c r="AD151" s="73"/>
      <c r="AE151" s="73"/>
      <c r="AF151" s="73"/>
      <c r="AG151" s="244"/>
    </row>
    <row r="152" spans="1:38" s="15" customFormat="1" ht="20.100000000000001" customHeight="1">
      <c r="A152" s="445"/>
      <c r="B152" s="39" t="s">
        <v>95</v>
      </c>
      <c r="C152" s="22" t="s">
        <v>5</v>
      </c>
      <c r="D152" s="73">
        <v>156000</v>
      </c>
      <c r="E152" s="73">
        <v>0</v>
      </c>
      <c r="F152" s="245"/>
      <c r="G152" s="73">
        <v>10000</v>
      </c>
      <c r="H152" s="117">
        <v>42000</v>
      </c>
      <c r="I152" s="117">
        <v>239860</v>
      </c>
      <c r="J152" s="117"/>
      <c r="K152" s="73">
        <v>25960</v>
      </c>
      <c r="L152" s="245"/>
      <c r="M152" s="73"/>
      <c r="N152" s="311">
        <v>132200</v>
      </c>
      <c r="O152" s="259"/>
      <c r="P152" s="260"/>
      <c r="Q152" s="73"/>
      <c r="R152" s="73">
        <v>245000</v>
      </c>
      <c r="S152" s="73">
        <v>64400</v>
      </c>
      <c r="T152" s="73">
        <v>1085320</v>
      </c>
      <c r="U152" s="73"/>
      <c r="V152" s="73">
        <v>234000</v>
      </c>
      <c r="W152" s="73">
        <v>177900</v>
      </c>
      <c r="X152" s="73"/>
      <c r="Y152" s="73"/>
      <c r="Z152" s="73"/>
      <c r="AA152" s="73">
        <v>38340</v>
      </c>
      <c r="AB152" s="73"/>
      <c r="AC152" s="73">
        <v>270240</v>
      </c>
      <c r="AD152" s="73">
        <v>414860</v>
      </c>
      <c r="AE152" s="73">
        <v>30600</v>
      </c>
      <c r="AF152" s="73"/>
      <c r="AG152" s="244">
        <f>SUM(D152:AF152)</f>
        <v>3166680</v>
      </c>
    </row>
    <row r="153" spans="1:38" s="15" customFormat="1" ht="20.100000000000001" customHeight="1">
      <c r="A153" s="445"/>
      <c r="B153" s="100" t="s">
        <v>38</v>
      </c>
      <c r="C153" s="22" t="s">
        <v>5</v>
      </c>
      <c r="D153" s="74">
        <v>0</v>
      </c>
      <c r="E153" s="74">
        <v>0</v>
      </c>
      <c r="F153" s="74"/>
      <c r="G153" s="74"/>
      <c r="H153" s="74"/>
      <c r="I153" s="74"/>
      <c r="J153" s="74"/>
      <c r="K153" s="74"/>
      <c r="L153" s="266"/>
      <c r="M153" s="74"/>
      <c r="N153" s="74"/>
      <c r="O153" s="277"/>
      <c r="P153" s="278"/>
      <c r="Q153" s="278"/>
      <c r="R153" s="278"/>
      <c r="S153" s="74"/>
      <c r="T153" s="266"/>
      <c r="U153" s="266"/>
      <c r="V153" s="74">
        <v>0</v>
      </c>
      <c r="W153" s="74"/>
      <c r="X153" s="74"/>
      <c r="Y153" s="74"/>
      <c r="Z153" s="74"/>
      <c r="AA153" s="74"/>
      <c r="AB153" s="74"/>
      <c r="AC153" s="74">
        <v>450000</v>
      </c>
      <c r="AD153" s="74"/>
      <c r="AE153" s="74"/>
      <c r="AF153" s="74"/>
      <c r="AG153" s="244">
        <f>SUM(D153:AF153)</f>
        <v>450000</v>
      </c>
      <c r="AH153" s="23"/>
    </row>
    <row r="154" spans="1:38" s="15" customFormat="1" ht="20.100000000000001" customHeight="1">
      <c r="A154" s="445"/>
      <c r="B154" s="156" t="s">
        <v>306</v>
      </c>
      <c r="C154" s="22"/>
      <c r="D154" s="74"/>
      <c r="E154" s="74"/>
      <c r="F154" s="74"/>
      <c r="G154" s="74"/>
      <c r="H154" s="74"/>
      <c r="I154" s="74"/>
      <c r="J154" s="74"/>
      <c r="K154" s="74"/>
      <c r="L154" s="266"/>
      <c r="M154" s="74"/>
      <c r="N154" s="74"/>
      <c r="O154" s="353"/>
      <c r="P154" s="353"/>
      <c r="Q154" s="277"/>
      <c r="R154" s="277"/>
      <c r="S154" s="74"/>
      <c r="T154" s="353"/>
      <c r="U154" s="353"/>
      <c r="V154" s="354"/>
      <c r="W154" s="74"/>
      <c r="X154" s="74"/>
      <c r="Y154" s="74"/>
      <c r="Z154" s="74"/>
      <c r="AA154" s="74">
        <v>415</v>
      </c>
      <c r="AB154" s="74"/>
      <c r="AC154" s="74"/>
      <c r="AD154" s="74">
        <v>4765</v>
      </c>
      <c r="AE154" s="74"/>
      <c r="AF154" s="74"/>
      <c r="AG154" s="244"/>
      <c r="AH154" s="23"/>
    </row>
    <row r="155" spans="1:38" s="15" customFormat="1" ht="20.100000000000001" customHeight="1" thickBot="1">
      <c r="A155" s="445"/>
      <c r="B155" s="41" t="s">
        <v>126</v>
      </c>
      <c r="C155" s="42"/>
      <c r="D155" s="75">
        <v>1081538</v>
      </c>
      <c r="E155" s="75">
        <f>21390</f>
        <v>21390</v>
      </c>
      <c r="F155" s="75">
        <f>36500+1100+660+1440+660</f>
        <v>40360</v>
      </c>
      <c r="G155" s="75">
        <v>39010</v>
      </c>
      <c r="H155" s="75">
        <f>27700+21400+23500+36100+14050+19300+1000+21400</f>
        <v>164450</v>
      </c>
      <c r="I155" s="75">
        <v>1165456</v>
      </c>
      <c r="J155" s="75"/>
      <c r="K155" s="75">
        <f>1000+1000+1000+16450+140</f>
        <v>19590</v>
      </c>
      <c r="L155" s="279">
        <v>36100</v>
      </c>
      <c r="M155" s="75">
        <v>7750</v>
      </c>
      <c r="N155" s="314">
        <v>124200</v>
      </c>
      <c r="O155" s="280">
        <f>15100+990+1530</f>
        <v>17620</v>
      </c>
      <c r="P155" s="281">
        <v>2310</v>
      </c>
      <c r="Q155" s="250">
        <v>29440</v>
      </c>
      <c r="R155" s="250">
        <v>804494</v>
      </c>
      <c r="S155" s="316">
        <v>11900</v>
      </c>
      <c r="T155" s="301">
        <f>967611-81426</f>
        <v>886185</v>
      </c>
      <c r="U155" s="301">
        <f>1500-800</f>
        <v>700</v>
      </c>
      <c r="V155" s="351">
        <v>622748</v>
      </c>
      <c r="W155" s="73">
        <v>61950</v>
      </c>
      <c r="X155" s="75"/>
      <c r="Y155" s="75"/>
      <c r="Z155" s="75">
        <f>21400+29800+2000+500</f>
        <v>53700</v>
      </c>
      <c r="AA155" s="75">
        <v>13950</v>
      </c>
      <c r="AB155" s="75">
        <v>1500</v>
      </c>
      <c r="AC155" s="75">
        <v>540758</v>
      </c>
      <c r="AD155" s="75">
        <v>35300</v>
      </c>
      <c r="AE155" s="75">
        <f>1000+1000+1000+11990+14050</f>
        <v>29040</v>
      </c>
      <c r="AF155" s="75">
        <v>12150</v>
      </c>
      <c r="AG155" s="244">
        <f>SUM(D155:AF155)</f>
        <v>5823589</v>
      </c>
      <c r="AH155" s="23"/>
      <c r="AI155" s="43"/>
      <c r="AJ155" s="23"/>
      <c r="AK155" s="23"/>
    </row>
    <row r="156" spans="1:38" s="15" customFormat="1" ht="20.100000000000001" customHeight="1" thickBot="1">
      <c r="A156" s="480" t="s">
        <v>39</v>
      </c>
      <c r="B156" s="481"/>
      <c r="C156" s="481"/>
      <c r="D156" s="307">
        <f t="shared" ref="D156:W156" si="45">SUM(D107:D155)</f>
        <v>16529391</v>
      </c>
      <c r="E156" s="307">
        <f t="shared" si="45"/>
        <v>105444</v>
      </c>
      <c r="F156" s="307">
        <f t="shared" si="45"/>
        <v>155881</v>
      </c>
      <c r="G156" s="307">
        <f t="shared" si="45"/>
        <v>181070</v>
      </c>
      <c r="H156" s="307">
        <f t="shared" si="45"/>
        <v>913910</v>
      </c>
      <c r="I156" s="307">
        <f t="shared" si="45"/>
        <v>21185131</v>
      </c>
      <c r="J156" s="307">
        <f t="shared" si="45"/>
        <v>232932</v>
      </c>
      <c r="K156" s="307">
        <f t="shared" si="45"/>
        <v>90159</v>
      </c>
      <c r="L156" s="307">
        <f t="shared" si="45"/>
        <v>36100</v>
      </c>
      <c r="M156" s="307">
        <f t="shared" si="45"/>
        <v>34900</v>
      </c>
      <c r="N156" s="307">
        <f t="shared" si="45"/>
        <v>1030249</v>
      </c>
      <c r="O156" s="307">
        <f t="shared" si="45"/>
        <v>79498</v>
      </c>
      <c r="P156" s="307">
        <f t="shared" si="45"/>
        <v>164754</v>
      </c>
      <c r="Q156" s="307">
        <f t="shared" si="45"/>
        <v>68963</v>
      </c>
      <c r="R156" s="307">
        <f t="shared" si="45"/>
        <v>16724035.294117648</v>
      </c>
      <c r="S156" s="307">
        <f t="shared" si="45"/>
        <v>90675</v>
      </c>
      <c r="T156" s="307">
        <f t="shared" si="45"/>
        <v>17310919.05882353</v>
      </c>
      <c r="U156" s="307">
        <f t="shared" si="45"/>
        <v>15500</v>
      </c>
      <c r="V156" s="307">
        <f t="shared" si="45"/>
        <v>10993372</v>
      </c>
      <c r="W156" s="307">
        <f t="shared" si="45"/>
        <v>383850</v>
      </c>
      <c r="X156" s="307">
        <f>SUM(X107:X155)</f>
        <v>28611</v>
      </c>
      <c r="Y156" s="307">
        <f t="shared" ref="Y156:AE156" si="46">SUM(Y107:Y155)</f>
        <v>2604212</v>
      </c>
      <c r="Z156" s="307">
        <f t="shared" si="46"/>
        <v>258045</v>
      </c>
      <c r="AA156" s="359">
        <f t="shared" si="46"/>
        <v>77044</v>
      </c>
      <c r="AB156" s="359">
        <f t="shared" si="46"/>
        <v>402913</v>
      </c>
      <c r="AC156" s="358">
        <f t="shared" si="46"/>
        <v>12570924</v>
      </c>
      <c r="AD156" s="358">
        <f t="shared" si="46"/>
        <v>649053</v>
      </c>
      <c r="AE156" s="358">
        <f t="shared" si="46"/>
        <v>182688</v>
      </c>
      <c r="AF156" s="358">
        <f>SUM(AF107:AF155)</f>
        <v>78137</v>
      </c>
      <c r="AG156" s="244">
        <f>SUM(D156:AF156)</f>
        <v>103178360.35294117</v>
      </c>
      <c r="AH156" s="221"/>
      <c r="AI156" s="43"/>
      <c r="AK156" s="221"/>
      <c r="AL156" s="222"/>
    </row>
    <row r="157" spans="1:38" s="15" customFormat="1" ht="20.100000000000001" customHeight="1">
      <c r="A157" s="482" t="s">
        <v>40</v>
      </c>
      <c r="B157" s="483"/>
      <c r="C157" s="483"/>
      <c r="D157" s="75">
        <f t="shared" ref="D157:AE157" si="47">D156-D106</f>
        <v>2884071</v>
      </c>
      <c r="E157" s="75">
        <f t="shared" si="47"/>
        <v>18894</v>
      </c>
      <c r="F157" s="75">
        <f t="shared" si="47"/>
        <v>36264</v>
      </c>
      <c r="G157" s="75">
        <f t="shared" si="47"/>
        <v>35005</v>
      </c>
      <c r="H157" s="75">
        <f t="shared" si="47"/>
        <v>127621</v>
      </c>
      <c r="I157" s="75">
        <f t="shared" si="47"/>
        <v>3503989</v>
      </c>
      <c r="J157" s="75">
        <f t="shared" si="47"/>
        <v>35632</v>
      </c>
      <c r="K157" s="75">
        <f t="shared" si="47"/>
        <v>22775</v>
      </c>
      <c r="L157" s="279">
        <f t="shared" si="47"/>
        <v>0</v>
      </c>
      <c r="M157" s="75">
        <f t="shared" si="47"/>
        <v>4800</v>
      </c>
      <c r="N157" s="75">
        <f t="shared" si="47"/>
        <v>324585</v>
      </c>
      <c r="O157" s="75">
        <f t="shared" si="47"/>
        <v>-789</v>
      </c>
      <c r="P157" s="281">
        <f t="shared" si="47"/>
        <v>26924</v>
      </c>
      <c r="Q157" s="284">
        <f t="shared" si="47"/>
        <v>7623</v>
      </c>
      <c r="R157" s="284">
        <f t="shared" si="47"/>
        <v>2909162.2941176482</v>
      </c>
      <c r="S157" s="75">
        <f t="shared" si="47"/>
        <v>3875</v>
      </c>
      <c r="T157" s="75">
        <f t="shared" si="47"/>
        <v>2961016.0588235296</v>
      </c>
      <c r="U157" s="75">
        <f t="shared" si="47"/>
        <v>4300</v>
      </c>
      <c r="V157" s="75">
        <f t="shared" si="47"/>
        <v>1907535</v>
      </c>
      <c r="W157" s="75">
        <f t="shared" si="47"/>
        <v>-19096</v>
      </c>
      <c r="X157" s="75">
        <f t="shared" si="47"/>
        <v>4291</v>
      </c>
      <c r="Y157" s="75">
        <f>Y156-Y106</f>
        <v>734216</v>
      </c>
      <c r="Z157" s="75">
        <f t="shared" si="47"/>
        <v>27982</v>
      </c>
      <c r="AA157" s="285">
        <f>AA156-AA106</f>
        <v>5937</v>
      </c>
      <c r="AB157" s="285">
        <f>AB156-AB106</f>
        <v>41607</v>
      </c>
      <c r="AC157" s="285">
        <f t="shared" si="47"/>
        <v>2005308</v>
      </c>
      <c r="AD157" s="75">
        <f>AD156-AD106</f>
        <v>58573</v>
      </c>
      <c r="AE157" s="75">
        <f t="shared" si="47"/>
        <v>37072</v>
      </c>
      <c r="AF157" s="75">
        <f>AF156-AF106</f>
        <v>16437</v>
      </c>
      <c r="AG157" s="244">
        <f>SUM(D157:AF157)</f>
        <v>17725609.352941178</v>
      </c>
    </row>
    <row r="158" spans="1:38" s="15" customFormat="1" ht="20.100000000000001" customHeight="1">
      <c r="A158" s="484"/>
      <c r="B158" s="485"/>
      <c r="C158" s="485"/>
      <c r="D158" s="115">
        <f t="shared" ref="D158:T158" si="48">D157/D156</f>
        <v>0.17448138288942405</v>
      </c>
      <c r="E158" s="115">
        <f t="shared" si="48"/>
        <v>0.17918515989529987</v>
      </c>
      <c r="F158" s="115">
        <f t="shared" si="48"/>
        <v>0.23263900026302115</v>
      </c>
      <c r="G158" s="115">
        <f t="shared" si="48"/>
        <v>0.19332302424476722</v>
      </c>
      <c r="H158" s="115">
        <f t="shared" si="48"/>
        <v>0.13964285323500125</v>
      </c>
      <c r="I158" s="115">
        <f t="shared" si="48"/>
        <v>0.16539850520631663</v>
      </c>
      <c r="J158" s="115">
        <f t="shared" si="48"/>
        <v>0.15297168272285475</v>
      </c>
      <c r="K158" s="115">
        <f t="shared" si="48"/>
        <v>0.25260927916236869</v>
      </c>
      <c r="L158" s="286">
        <f t="shared" si="48"/>
        <v>0</v>
      </c>
      <c r="M158" s="115">
        <f t="shared" si="48"/>
        <v>0.13753581661891118</v>
      </c>
      <c r="N158" s="115">
        <f t="shared" si="48"/>
        <v>0.31505490420277038</v>
      </c>
      <c r="O158" s="287">
        <f t="shared" si="48"/>
        <v>-9.9247779818360214E-3</v>
      </c>
      <c r="P158" s="288">
        <f t="shared" si="48"/>
        <v>0.16341940104640859</v>
      </c>
      <c r="Q158" s="115">
        <f t="shared" si="48"/>
        <v>0.11053753462001363</v>
      </c>
      <c r="R158" s="115">
        <f t="shared" si="48"/>
        <v>0.17395097791625022</v>
      </c>
      <c r="S158" s="115">
        <f t="shared" si="48"/>
        <v>4.2735042735042736E-2</v>
      </c>
      <c r="T158" s="115">
        <f t="shared" si="48"/>
        <v>0.17104903839951083</v>
      </c>
      <c r="U158" s="115">
        <f>U157/U156</f>
        <v>0.27741935483870966</v>
      </c>
      <c r="V158" s="115">
        <f t="shared" ref="V158:AF158" si="49">V157/V156</f>
        <v>0.17351682450116307</v>
      </c>
      <c r="W158" s="115">
        <f t="shared" si="49"/>
        <v>-4.9748599713429723E-2</v>
      </c>
      <c r="X158" s="115">
        <f t="shared" si="49"/>
        <v>0.14997728146517073</v>
      </c>
      <c r="Y158" s="115">
        <f>Y157/Y156</f>
        <v>0.28193403609229972</v>
      </c>
      <c r="Z158" s="115">
        <f t="shared" si="49"/>
        <v>0.108438450657831</v>
      </c>
      <c r="AA158" s="115">
        <f t="shared" si="49"/>
        <v>7.7059861897097764E-2</v>
      </c>
      <c r="AB158" s="115">
        <f t="shared" si="49"/>
        <v>0.10326546922040242</v>
      </c>
      <c r="AC158" s="115">
        <f t="shared" si="49"/>
        <v>0.15951953889785667</v>
      </c>
      <c r="AD158" s="115">
        <f t="shared" si="49"/>
        <v>9.0243785946602206E-2</v>
      </c>
      <c r="AE158" s="115">
        <f t="shared" si="49"/>
        <v>0.20292520581537923</v>
      </c>
      <c r="AF158" s="115">
        <f t="shared" si="49"/>
        <v>0.21036128850608546</v>
      </c>
      <c r="AG158" s="289">
        <f>AG157/AG156</f>
        <v>0.17179580381300272</v>
      </c>
    </row>
    <row r="159" spans="1:38" s="15" customFormat="1" ht="20.100000000000001" customHeight="1">
      <c r="A159" s="486" t="s">
        <v>41</v>
      </c>
      <c r="B159" s="515" t="s">
        <v>42</v>
      </c>
      <c r="C159" s="516"/>
      <c r="D159" s="75">
        <f t="shared" ref="D159:M159" si="50">(D5-D3)+(D11-D9)</f>
        <v>17112.631578947359</v>
      </c>
      <c r="E159" s="75">
        <f t="shared" si="50"/>
        <v>1183.4210526315801</v>
      </c>
      <c r="F159" s="75">
        <f t="shared" si="50"/>
        <v>0</v>
      </c>
      <c r="G159" s="75">
        <f t="shared" si="50"/>
        <v>3042.8947368421068</v>
      </c>
      <c r="H159" s="75">
        <f t="shared" si="50"/>
        <v>0</v>
      </c>
      <c r="I159" s="75">
        <f t="shared" si="50"/>
        <v>11652.631578947388</v>
      </c>
      <c r="J159" s="75">
        <f t="shared" si="50"/>
        <v>3057.8947368421068</v>
      </c>
      <c r="K159" s="75">
        <f t="shared" si="50"/>
        <v>0</v>
      </c>
      <c r="L159" s="279">
        <f t="shared" si="50"/>
        <v>0</v>
      </c>
      <c r="M159" s="75">
        <f t="shared" si="50"/>
        <v>0</v>
      </c>
      <c r="N159" s="250"/>
      <c r="O159" s="250">
        <f>(O5-O3)+(O11-O9)</f>
        <v>0</v>
      </c>
      <c r="P159" s="75">
        <f>(P5-P3)+(P11-P9)</f>
        <v>1630.2631578947367</v>
      </c>
      <c r="Q159" s="75">
        <f>(Q5-Q3)+(Q11-Q9)</f>
        <v>0</v>
      </c>
      <c r="R159" s="75"/>
      <c r="S159" s="75">
        <f t="shared" ref="S159:Y159" si="51">(S5-S3)+(S11-S9)</f>
        <v>184.21052631578959</v>
      </c>
      <c r="T159" s="75">
        <f t="shared" si="51"/>
        <v>42000</v>
      </c>
      <c r="U159" s="75">
        <f t="shared" si="51"/>
        <v>0</v>
      </c>
      <c r="V159" s="75">
        <f t="shared" si="51"/>
        <v>0</v>
      </c>
      <c r="W159" s="75">
        <f t="shared" si="51"/>
        <v>0</v>
      </c>
      <c r="X159" s="75">
        <f t="shared" si="51"/>
        <v>0</v>
      </c>
      <c r="Y159" s="75">
        <f t="shared" si="51"/>
        <v>0</v>
      </c>
      <c r="Z159" s="75"/>
      <c r="AA159" s="75">
        <f>(AA5-AA3)+(AA11-AA9)</f>
        <v>202.63157894736878</v>
      </c>
      <c r="AB159" s="75">
        <f>(AB5-AB3)+(AB11-AB9)</f>
        <v>1870</v>
      </c>
      <c r="AC159" s="75">
        <f>(AC5-AC3)+(AC11-AC9)</f>
        <v>8052.6315789473883</v>
      </c>
      <c r="AD159" s="75">
        <f>(AD5-AD3)+(AD11-AD9)</f>
        <v>0</v>
      </c>
      <c r="AE159" s="75"/>
      <c r="AF159" s="75"/>
      <c r="AG159" s="75">
        <f>SUM(D159:AA159)</f>
        <v>80066.578947368442</v>
      </c>
    </row>
    <row r="160" spans="1:38" s="15" customFormat="1" ht="20.100000000000001" customHeight="1">
      <c r="A160" s="486"/>
      <c r="B160" s="515" t="s">
        <v>43</v>
      </c>
      <c r="C160" s="516"/>
      <c r="D160" s="115">
        <f t="shared" ref="D160:M160" si="52">D159/(D11+D5)</f>
        <v>4.9999999999999975E-2</v>
      </c>
      <c r="E160" s="115">
        <f t="shared" si="52"/>
        <v>5.0000000000000044E-2</v>
      </c>
      <c r="F160" s="115" t="e">
        <f t="shared" si="52"/>
        <v>#DIV/0!</v>
      </c>
      <c r="G160" s="115">
        <f t="shared" si="52"/>
        <v>5.0000000000000024E-2</v>
      </c>
      <c r="H160" s="115" t="e">
        <f t="shared" si="52"/>
        <v>#DIV/0!</v>
      </c>
      <c r="I160" s="115">
        <f t="shared" si="52"/>
        <v>5.0000000000000079E-2</v>
      </c>
      <c r="J160" s="115">
        <f t="shared" si="52"/>
        <v>5.0000000000000024E-2</v>
      </c>
      <c r="K160" s="115" t="e">
        <f t="shared" si="52"/>
        <v>#DIV/0!</v>
      </c>
      <c r="L160" s="286" t="e">
        <f t="shared" si="52"/>
        <v>#DIV/0!</v>
      </c>
      <c r="M160" s="115" t="e">
        <f t="shared" si="52"/>
        <v>#DIV/0!</v>
      </c>
      <c r="N160" s="290"/>
      <c r="O160" s="290" t="e">
        <f>O159/(O11+O5)</f>
        <v>#DIV/0!</v>
      </c>
      <c r="P160" s="115">
        <f>P159/(P11+P5)</f>
        <v>4.9999999999999996E-2</v>
      </c>
      <c r="Q160" s="115" t="e">
        <f>Q159/(Q11+Q5)</f>
        <v>#DIV/0!</v>
      </c>
      <c r="R160" s="115"/>
      <c r="S160" s="115">
        <f>S159/(S11+S5)</f>
        <v>5.0000000000000031E-2</v>
      </c>
      <c r="T160" s="115">
        <f>T159/(T11+T5)</f>
        <v>0.05</v>
      </c>
      <c r="U160" s="115" t="e">
        <f>U159/(U11+U5)</f>
        <v>#DIV/0!</v>
      </c>
      <c r="V160" s="115" t="e">
        <f>V159/(V11+V5)</f>
        <v>#DIV/0!</v>
      </c>
      <c r="W160" s="115" t="e">
        <f>W159/(W11+W5)</f>
        <v>#DIV/0!</v>
      </c>
      <c r="X160" s="115"/>
      <c r="Y160" s="115"/>
      <c r="Z160" s="115"/>
      <c r="AA160" s="115">
        <f>AA159/(AA11+AA5)</f>
        <v>5.0000000000000086E-2</v>
      </c>
      <c r="AB160" s="115">
        <f>AB159/(AB11+AB5)</f>
        <v>0.05</v>
      </c>
      <c r="AC160" s="115">
        <f>AC159/(AC11+AC5)</f>
        <v>5.0000000000000121E-2</v>
      </c>
      <c r="AD160" s="115" t="e">
        <f>AD159/(AD11+AD5)</f>
        <v>#DIV/0!</v>
      </c>
      <c r="AE160" s="115"/>
      <c r="AF160" s="115"/>
      <c r="AG160" s="115">
        <f>AG159/(AG11+AG5)</f>
        <v>3.4728033950384769E-2</v>
      </c>
    </row>
    <row r="161" spans="1:33" s="15" customFormat="1" ht="20.100000000000001" customHeight="1">
      <c r="A161" s="479" t="s">
        <v>44</v>
      </c>
      <c r="B161" s="432" t="s">
        <v>45</v>
      </c>
      <c r="C161" s="433"/>
      <c r="D161" s="73">
        <f t="shared" ref="D161:M161" si="53">D107-D5</f>
        <v>0</v>
      </c>
      <c r="E161" s="73">
        <f t="shared" si="53"/>
        <v>0</v>
      </c>
      <c r="F161" s="73">
        <f t="shared" si="53"/>
        <v>0</v>
      </c>
      <c r="G161" s="73">
        <f t="shared" si="53"/>
        <v>0</v>
      </c>
      <c r="H161" s="73">
        <f t="shared" si="53"/>
        <v>0</v>
      </c>
      <c r="I161" s="73">
        <f t="shared" si="53"/>
        <v>0</v>
      </c>
      <c r="J161" s="73">
        <f t="shared" si="53"/>
        <v>0</v>
      </c>
      <c r="K161" s="73">
        <f t="shared" si="53"/>
        <v>0</v>
      </c>
      <c r="L161" s="245">
        <f t="shared" si="53"/>
        <v>0</v>
      </c>
      <c r="M161" s="73">
        <f t="shared" si="53"/>
        <v>0</v>
      </c>
      <c r="N161" s="117"/>
      <c r="O161" s="117">
        <f>O107-O5</f>
        <v>0</v>
      </c>
      <c r="P161" s="73">
        <f>P107-P5</f>
        <v>0</v>
      </c>
      <c r="Q161" s="73">
        <f>Q107-Q5</f>
        <v>0</v>
      </c>
      <c r="R161" s="73">
        <f>R107-R5</f>
        <v>26621.68421052632</v>
      </c>
      <c r="S161" s="73">
        <f>S107-S5</f>
        <v>0</v>
      </c>
      <c r="T161" s="73"/>
      <c r="U161" s="73"/>
      <c r="V161" s="73">
        <f t="shared" ref="V161:AF161" si="54">V107-V5</f>
        <v>0</v>
      </c>
      <c r="W161" s="73">
        <f t="shared" si="54"/>
        <v>0</v>
      </c>
      <c r="X161" s="73">
        <f t="shared" si="54"/>
        <v>0</v>
      </c>
      <c r="Y161" s="73">
        <f t="shared" si="54"/>
        <v>0</v>
      </c>
      <c r="Z161" s="73">
        <f t="shared" si="54"/>
        <v>0</v>
      </c>
      <c r="AA161" s="73">
        <f t="shared" si="54"/>
        <v>0</v>
      </c>
      <c r="AB161" s="73"/>
      <c r="AC161" s="73">
        <f t="shared" si="54"/>
        <v>0</v>
      </c>
      <c r="AD161" s="73">
        <f t="shared" si="54"/>
        <v>0</v>
      </c>
      <c r="AE161" s="73">
        <f t="shared" si="54"/>
        <v>0</v>
      </c>
      <c r="AF161" s="73">
        <f t="shared" si="54"/>
        <v>0</v>
      </c>
      <c r="AG161" s="75">
        <f>SUM(D161:AC161)</f>
        <v>26621.68421052632</v>
      </c>
    </row>
    <row r="162" spans="1:33" s="15" customFormat="1" ht="20.100000000000001" customHeight="1">
      <c r="A162" s="460"/>
      <c r="B162" s="432"/>
      <c r="C162" s="433"/>
      <c r="D162" s="115" t="e">
        <f t="shared" ref="D162:M162" si="55">D161/D107</f>
        <v>#DIV/0!</v>
      </c>
      <c r="E162" s="115" t="e">
        <f t="shared" si="55"/>
        <v>#DIV/0!</v>
      </c>
      <c r="F162" s="115" t="e">
        <f t="shared" si="55"/>
        <v>#DIV/0!</v>
      </c>
      <c r="G162" s="115" t="e">
        <f t="shared" si="55"/>
        <v>#DIV/0!</v>
      </c>
      <c r="H162" s="115" t="e">
        <f t="shared" si="55"/>
        <v>#DIV/0!</v>
      </c>
      <c r="I162" s="115" t="e">
        <f t="shared" si="55"/>
        <v>#DIV/0!</v>
      </c>
      <c r="J162" s="115" t="e">
        <f t="shared" si="55"/>
        <v>#DIV/0!</v>
      </c>
      <c r="K162" s="115" t="e">
        <f t="shared" si="55"/>
        <v>#DIV/0!</v>
      </c>
      <c r="L162" s="286" t="e">
        <f t="shared" si="55"/>
        <v>#DIV/0!</v>
      </c>
      <c r="M162" s="115" t="e">
        <f t="shared" si="55"/>
        <v>#DIV/0!</v>
      </c>
      <c r="N162" s="290"/>
      <c r="O162" s="290" t="e">
        <f>O161/O107</f>
        <v>#DIV/0!</v>
      </c>
      <c r="P162" s="115" t="e">
        <f>P161/P107</f>
        <v>#DIV/0!</v>
      </c>
      <c r="Q162" s="115" t="e">
        <f>Q161/Q107</f>
        <v>#DIV/0!</v>
      </c>
      <c r="R162" s="115">
        <f>R161/R107</f>
        <v>0.12802087161466483</v>
      </c>
      <c r="S162" s="115" t="e">
        <f>S161/S107</f>
        <v>#DIV/0!</v>
      </c>
      <c r="T162" s="115"/>
      <c r="U162" s="115"/>
      <c r="V162" s="115" t="e">
        <f t="shared" ref="V162:AG162" si="56">V161/V107</f>
        <v>#DIV/0!</v>
      </c>
      <c r="W162" s="115" t="e">
        <f t="shared" si="56"/>
        <v>#DIV/0!</v>
      </c>
      <c r="X162" s="115" t="e">
        <f t="shared" si="56"/>
        <v>#DIV/0!</v>
      </c>
      <c r="Y162" s="115" t="e">
        <f t="shared" si="56"/>
        <v>#DIV/0!</v>
      </c>
      <c r="Z162" s="115" t="e">
        <f t="shared" si="56"/>
        <v>#DIV/0!</v>
      </c>
      <c r="AA162" s="115" t="e">
        <f t="shared" si="56"/>
        <v>#DIV/0!</v>
      </c>
      <c r="AB162" s="115"/>
      <c r="AC162" s="115" t="e">
        <f t="shared" si="56"/>
        <v>#DIV/0!</v>
      </c>
      <c r="AD162" s="115" t="e">
        <f t="shared" si="56"/>
        <v>#DIV/0!</v>
      </c>
      <c r="AE162" s="115" t="e">
        <f t="shared" si="56"/>
        <v>#DIV/0!</v>
      </c>
      <c r="AF162" s="115" t="e">
        <f t="shared" si="56"/>
        <v>#DIV/0!</v>
      </c>
      <c r="AG162" s="289">
        <f t="shared" si="56"/>
        <v>0.12802087161466483</v>
      </c>
    </row>
    <row r="163" spans="1:33" s="15" customFormat="1" ht="20.100000000000001" customHeight="1">
      <c r="A163" s="460"/>
      <c r="B163" s="432" t="s">
        <v>46</v>
      </c>
      <c r="C163" s="433"/>
      <c r="D163" s="291">
        <f t="shared" ref="D163:M163" si="57">D108-D7</f>
        <v>285078</v>
      </c>
      <c r="E163" s="291">
        <f t="shared" si="57"/>
        <v>3149</v>
      </c>
      <c r="F163" s="291">
        <f t="shared" si="57"/>
        <v>0</v>
      </c>
      <c r="G163" s="291">
        <f t="shared" si="57"/>
        <v>8686</v>
      </c>
      <c r="H163" s="291">
        <f t="shared" si="57"/>
        <v>33287</v>
      </c>
      <c r="I163" s="291">
        <f t="shared" si="57"/>
        <v>315780</v>
      </c>
      <c r="J163" s="291">
        <f t="shared" si="57"/>
        <v>0</v>
      </c>
      <c r="K163" s="291">
        <f t="shared" si="57"/>
        <v>0</v>
      </c>
      <c r="L163" s="291">
        <f t="shared" si="57"/>
        <v>0</v>
      </c>
      <c r="M163" s="291">
        <f t="shared" si="57"/>
        <v>4800</v>
      </c>
      <c r="N163" s="291"/>
      <c r="O163" s="291">
        <f>O108-O7</f>
        <v>0</v>
      </c>
      <c r="P163" s="291">
        <f>P108-P7</f>
        <v>0</v>
      </c>
      <c r="Q163" s="291">
        <f>Q108-Q7</f>
        <v>-2169</v>
      </c>
      <c r="R163" s="291">
        <f>R108-R7</f>
        <v>340056</v>
      </c>
      <c r="S163" s="291">
        <f>S108-S7</f>
        <v>0</v>
      </c>
      <c r="T163" s="291"/>
      <c r="U163" s="291"/>
      <c r="V163" s="291">
        <f t="shared" ref="V163:AF163" si="58">V108-V7</f>
        <v>136836</v>
      </c>
      <c r="W163" s="291">
        <f t="shared" si="58"/>
        <v>0</v>
      </c>
      <c r="X163" s="291">
        <f t="shared" si="58"/>
        <v>0</v>
      </c>
      <c r="Y163" s="291">
        <f t="shared" si="58"/>
        <v>0</v>
      </c>
      <c r="Z163" s="291">
        <f t="shared" si="58"/>
        <v>7560</v>
      </c>
      <c r="AA163" s="291">
        <f t="shared" si="58"/>
        <v>0</v>
      </c>
      <c r="AB163" s="291"/>
      <c r="AC163" s="291">
        <f t="shared" si="58"/>
        <v>233664</v>
      </c>
      <c r="AD163" s="291">
        <f t="shared" si="58"/>
        <v>0</v>
      </c>
      <c r="AE163" s="291">
        <f t="shared" si="58"/>
        <v>0</v>
      </c>
      <c r="AF163" s="291">
        <f t="shared" si="58"/>
        <v>0</v>
      </c>
      <c r="AG163" s="75">
        <f>SUM(D163:AC163)</f>
        <v>1366727</v>
      </c>
    </row>
    <row r="164" spans="1:33" s="15" customFormat="1" ht="20.100000000000001" customHeight="1">
      <c r="A164" s="460"/>
      <c r="B164" s="432"/>
      <c r="C164" s="433"/>
      <c r="D164" s="115">
        <f t="shared" ref="D164:M164" si="59">D163/D108</f>
        <v>0.1774627896987693</v>
      </c>
      <c r="E164" s="115">
        <f t="shared" si="59"/>
        <v>0.17180424463964208</v>
      </c>
      <c r="F164" s="115" t="e">
        <f t="shared" si="59"/>
        <v>#DIV/0!</v>
      </c>
      <c r="G164" s="115">
        <f t="shared" si="59"/>
        <v>0.21777064634207491</v>
      </c>
      <c r="H164" s="115">
        <f t="shared" si="59"/>
        <v>0.17202406176680343</v>
      </c>
      <c r="I164" s="115">
        <f t="shared" si="59"/>
        <v>0.18555407087227688</v>
      </c>
      <c r="J164" s="115" t="e">
        <f t="shared" si="59"/>
        <v>#DIV/0!</v>
      </c>
      <c r="K164" s="115" t="e">
        <f t="shared" si="59"/>
        <v>#DIV/0!</v>
      </c>
      <c r="L164" s="115" t="e">
        <f t="shared" si="59"/>
        <v>#DIV/0!</v>
      </c>
      <c r="M164" s="115">
        <f t="shared" si="59"/>
        <v>0.17679558011049723</v>
      </c>
      <c r="N164" s="115"/>
      <c r="O164" s="115" t="e">
        <f>O163/O108</f>
        <v>#DIV/0!</v>
      </c>
      <c r="P164" s="115" t="e">
        <f>P163/P108</f>
        <v>#DIV/0!</v>
      </c>
      <c r="Q164" s="115">
        <f>Q163/Q108</f>
        <v>-0.90715181932245925</v>
      </c>
      <c r="R164" s="115">
        <f>R163/R108</f>
        <v>0.18274170596757622</v>
      </c>
      <c r="S164" s="115" t="e">
        <f>S163/S108</f>
        <v>#DIV/0!</v>
      </c>
      <c r="T164" s="115"/>
      <c r="U164" s="115"/>
      <c r="V164" s="115">
        <f t="shared" ref="V164:AG164" si="60">V163/V108</f>
        <v>0.18489452434614823</v>
      </c>
      <c r="W164" s="115" t="e">
        <f t="shared" si="60"/>
        <v>#DIV/0!</v>
      </c>
      <c r="X164" s="115" t="e">
        <f t="shared" si="60"/>
        <v>#DIV/0!</v>
      </c>
      <c r="Y164" s="115" t="e">
        <f t="shared" si="60"/>
        <v>#DIV/0!</v>
      </c>
      <c r="Z164" s="115">
        <f t="shared" si="60"/>
        <v>0.17499999999999999</v>
      </c>
      <c r="AA164" s="115" t="e">
        <f t="shared" si="60"/>
        <v>#DIV/0!</v>
      </c>
      <c r="AB164" s="115"/>
      <c r="AC164" s="115">
        <f t="shared" si="60"/>
        <v>0.1907205892435625</v>
      </c>
      <c r="AD164" s="115" t="e">
        <f t="shared" si="60"/>
        <v>#DIV/0!</v>
      </c>
      <c r="AE164" s="115" t="e">
        <f t="shared" si="60"/>
        <v>#DIV/0!</v>
      </c>
      <c r="AF164" s="115" t="e">
        <f t="shared" si="60"/>
        <v>#DIV/0!</v>
      </c>
      <c r="AG164" s="115">
        <f t="shared" si="60"/>
        <v>0.16322782712547584</v>
      </c>
    </row>
    <row r="165" spans="1:33" s="15" customFormat="1" ht="20.100000000000001" customHeight="1">
      <c r="A165" s="460"/>
      <c r="B165" s="432" t="s">
        <v>47</v>
      </c>
      <c r="C165" s="433"/>
      <c r="D165" s="75">
        <f t="shared" ref="D165:J165" si="61">D109-D11</f>
        <v>64217.368421052641</v>
      </c>
      <c r="E165" s="75">
        <f t="shared" si="61"/>
        <v>4437.5789473684199</v>
      </c>
      <c r="F165" s="75">
        <f t="shared" si="61"/>
        <v>0</v>
      </c>
      <c r="G165" s="75">
        <f t="shared" si="61"/>
        <v>11346.105263157893</v>
      </c>
      <c r="H165" s="75">
        <f t="shared" si="61"/>
        <v>0</v>
      </c>
      <c r="I165" s="75">
        <f t="shared" si="61"/>
        <v>44729.368421052612</v>
      </c>
      <c r="J165" s="75">
        <f t="shared" si="61"/>
        <v>8010.1052631578932</v>
      </c>
      <c r="K165" s="75">
        <f>K109-K9</f>
        <v>0</v>
      </c>
      <c r="L165" s="75">
        <f>L109-L11</f>
        <v>0</v>
      </c>
      <c r="M165" s="75">
        <f>M109-M11</f>
        <v>0</v>
      </c>
      <c r="N165" s="75"/>
      <c r="O165" s="75">
        <f>O109-O11</f>
        <v>0</v>
      </c>
      <c r="P165" s="75">
        <f>P109-P11</f>
        <v>5632.7368421052633</v>
      </c>
      <c r="Q165" s="75">
        <f>Q109-Q11</f>
        <v>0</v>
      </c>
      <c r="R165" s="75">
        <f>R109-R11</f>
        <v>52851.789473684214</v>
      </c>
      <c r="S165" s="75">
        <f>S109-S11</f>
        <v>690.78947368421041</v>
      </c>
      <c r="T165" s="75"/>
      <c r="U165" s="75"/>
      <c r="V165" s="75">
        <f t="shared" ref="V165:AE165" si="62">V109-V11</f>
        <v>0</v>
      </c>
      <c r="W165" s="75">
        <f t="shared" si="62"/>
        <v>0</v>
      </c>
      <c r="X165" s="75">
        <f t="shared" si="62"/>
        <v>0</v>
      </c>
      <c r="Y165" s="75">
        <f t="shared" si="62"/>
        <v>0</v>
      </c>
      <c r="Z165" s="75">
        <f t="shared" si="62"/>
        <v>0</v>
      </c>
      <c r="AA165" s="75">
        <f t="shared" si="62"/>
        <v>737.36842105263122</v>
      </c>
      <c r="AB165" s="75"/>
      <c r="AC165" s="75">
        <f t="shared" si="62"/>
        <v>30227.368421052612</v>
      </c>
      <c r="AD165" s="75">
        <f t="shared" si="62"/>
        <v>0</v>
      </c>
      <c r="AE165" s="75">
        <f t="shared" si="62"/>
        <v>0</v>
      </c>
      <c r="AF165" s="75">
        <f>AF109-AF11</f>
        <v>8015.1578947368398</v>
      </c>
      <c r="AG165" s="75">
        <f>SUM(D165:AC165)</f>
        <v>222880.5789473684</v>
      </c>
    </row>
    <row r="166" spans="1:33" s="15" customFormat="1" ht="20.100000000000001" customHeight="1">
      <c r="A166" s="460"/>
      <c r="B166" s="432"/>
      <c r="C166" s="433"/>
      <c r="D166" s="115">
        <f t="shared" ref="D166:M166" si="63">D165/D109</f>
        <v>0.15798796570731577</v>
      </c>
      <c r="E166" s="115">
        <f t="shared" si="63"/>
        <v>0.15788724640177967</v>
      </c>
      <c r="F166" s="115" t="e">
        <f t="shared" si="63"/>
        <v>#DIV/0!</v>
      </c>
      <c r="G166" s="115">
        <f t="shared" si="63"/>
        <v>0.15713956654974645</v>
      </c>
      <c r="H166" s="115" t="e">
        <f t="shared" si="63"/>
        <v>#DIV/0!</v>
      </c>
      <c r="I166" s="115">
        <f t="shared" si="63"/>
        <v>0.16102327876195222</v>
      </c>
      <c r="J166" s="115">
        <f t="shared" si="63"/>
        <v>0.11580651837783214</v>
      </c>
      <c r="K166" s="115" t="e">
        <f t="shared" si="63"/>
        <v>#DIV/0!</v>
      </c>
      <c r="L166" s="115" t="e">
        <f t="shared" si="63"/>
        <v>#DIV/0!</v>
      </c>
      <c r="M166" s="115" t="e">
        <f t="shared" si="63"/>
        <v>#DIV/0!</v>
      </c>
      <c r="N166" s="115"/>
      <c r="O166" s="115" t="e">
        <f>O165/O109</f>
        <v>#DIV/0!</v>
      </c>
      <c r="P166" s="115">
        <f>P165/P109</f>
        <v>0.14730730796865066</v>
      </c>
      <c r="Q166" s="115" t="e">
        <f>Q165/Q109</f>
        <v>#DIV/0!</v>
      </c>
      <c r="R166" s="115">
        <f>R165/R109</f>
        <v>0.15798535725208712</v>
      </c>
      <c r="S166" s="115">
        <f>S165/S109</f>
        <v>0.15789473684210523</v>
      </c>
      <c r="T166" s="115"/>
      <c r="U166" s="115"/>
      <c r="V166" s="115" t="e">
        <f t="shared" ref="V166:AG166" si="64">V165/V109</f>
        <v>#DIV/0!</v>
      </c>
      <c r="W166" s="115" t="e">
        <f t="shared" si="64"/>
        <v>#DIV/0!</v>
      </c>
      <c r="X166" s="115" t="e">
        <f t="shared" si="64"/>
        <v>#DIV/0!</v>
      </c>
      <c r="Y166" s="115" t="e">
        <f t="shared" si="64"/>
        <v>#DIV/0!</v>
      </c>
      <c r="Z166" s="115" t="e">
        <f t="shared" si="64"/>
        <v>#DIV/0!</v>
      </c>
      <c r="AA166" s="115">
        <f t="shared" si="64"/>
        <v>0.153939127568399</v>
      </c>
      <c r="AB166" s="115"/>
      <c r="AC166" s="115">
        <f t="shared" si="64"/>
        <v>0.15802681106782002</v>
      </c>
      <c r="AD166" s="115" t="e">
        <f t="shared" si="64"/>
        <v>#DIV/0!</v>
      </c>
      <c r="AE166" s="115" t="e">
        <f t="shared" si="64"/>
        <v>#DIV/0!</v>
      </c>
      <c r="AF166" s="115">
        <f t="shared" si="64"/>
        <v>0.1579279219486294</v>
      </c>
      <c r="AG166" s="115">
        <f t="shared" si="64"/>
        <v>8.836878924105189E-2</v>
      </c>
    </row>
    <row r="167" spans="1:33" s="15" customFormat="1" ht="20.100000000000001" customHeight="1">
      <c r="A167" s="460"/>
      <c r="B167" s="432" t="s">
        <v>48</v>
      </c>
      <c r="C167" s="433"/>
      <c r="D167" s="292">
        <f t="shared" ref="D167:M167" si="65">D110-D13</f>
        <v>127600</v>
      </c>
      <c r="E167" s="292">
        <f t="shared" si="65"/>
        <v>0</v>
      </c>
      <c r="F167" s="292">
        <f t="shared" si="65"/>
        <v>3618</v>
      </c>
      <c r="G167" s="292">
        <f t="shared" si="65"/>
        <v>3213</v>
      </c>
      <c r="H167" s="292">
        <f t="shared" si="65"/>
        <v>0</v>
      </c>
      <c r="I167" s="292">
        <f t="shared" si="65"/>
        <v>176268</v>
      </c>
      <c r="J167" s="292">
        <f t="shared" si="65"/>
        <v>0</v>
      </c>
      <c r="K167" s="292">
        <f t="shared" si="65"/>
        <v>0</v>
      </c>
      <c r="L167" s="292">
        <f t="shared" si="65"/>
        <v>0</v>
      </c>
      <c r="M167" s="292">
        <f t="shared" si="65"/>
        <v>0</v>
      </c>
      <c r="N167" s="292"/>
      <c r="O167" s="292">
        <f>O110-O13</f>
        <v>0</v>
      </c>
      <c r="P167" s="292">
        <f>P110-P13</f>
        <v>0</v>
      </c>
      <c r="Q167" s="292">
        <f>Q110-Q13</f>
        <v>2760</v>
      </c>
      <c r="R167" s="292">
        <f>R110-R13</f>
        <v>195676</v>
      </c>
      <c r="S167" s="292">
        <f>S110-S13</f>
        <v>0</v>
      </c>
      <c r="T167" s="292"/>
      <c r="U167" s="292"/>
      <c r="V167" s="292">
        <f t="shared" ref="V167:AF167" si="66">V110-V13</f>
        <v>118032</v>
      </c>
      <c r="W167" s="292">
        <f t="shared" si="66"/>
        <v>0</v>
      </c>
      <c r="X167" s="292">
        <f t="shared" si="66"/>
        <v>0</v>
      </c>
      <c r="Y167" s="292">
        <f t="shared" si="66"/>
        <v>0</v>
      </c>
      <c r="Z167" s="292">
        <f t="shared" si="66"/>
        <v>0</v>
      </c>
      <c r="AA167" s="292">
        <f t="shared" si="66"/>
        <v>0</v>
      </c>
      <c r="AB167" s="292"/>
      <c r="AC167" s="292">
        <f t="shared" si="66"/>
        <v>360344</v>
      </c>
      <c r="AD167" s="292">
        <f t="shared" si="66"/>
        <v>0</v>
      </c>
      <c r="AE167" s="292">
        <f t="shared" si="66"/>
        <v>0</v>
      </c>
      <c r="AF167" s="292">
        <f t="shared" si="66"/>
        <v>0</v>
      </c>
      <c r="AG167" s="73">
        <f>SUM(D167:AC167)</f>
        <v>987511</v>
      </c>
    </row>
    <row r="168" spans="1:33" s="15" customFormat="1" ht="20.100000000000001" customHeight="1">
      <c r="A168" s="460"/>
      <c r="B168" s="432"/>
      <c r="C168" s="433"/>
      <c r="D168" s="115">
        <f t="shared" ref="D168:M168" si="67">D167/D110</f>
        <v>0.20038947170048371</v>
      </c>
      <c r="E168" s="115" t="e">
        <f t="shared" si="67"/>
        <v>#DIV/0!</v>
      </c>
      <c r="F168" s="115">
        <f t="shared" si="67"/>
        <v>1</v>
      </c>
      <c r="G168" s="115">
        <f t="shared" si="67"/>
        <v>0.43460029757879076</v>
      </c>
      <c r="H168" s="115" t="e">
        <f t="shared" si="67"/>
        <v>#DIV/0!</v>
      </c>
      <c r="I168" s="115">
        <f t="shared" si="67"/>
        <v>0.200051752785117</v>
      </c>
      <c r="J168" s="115" t="e">
        <f t="shared" si="67"/>
        <v>#DIV/0!</v>
      </c>
      <c r="K168" s="115" t="e">
        <f t="shared" si="67"/>
        <v>#DIV/0!</v>
      </c>
      <c r="L168" s="115" t="e">
        <f t="shared" si="67"/>
        <v>#DIV/0!</v>
      </c>
      <c r="M168" s="115" t="e">
        <f t="shared" si="67"/>
        <v>#DIV/0!</v>
      </c>
      <c r="N168" s="115"/>
      <c r="O168" s="115" t="e">
        <f>O167/O110</f>
        <v>#DIV/0!</v>
      </c>
      <c r="P168" s="115" t="e">
        <f>P167/P110</f>
        <v>#DIV/0!</v>
      </c>
      <c r="Q168" s="115">
        <f>Q167/Q110</f>
        <v>0.22885572139303484</v>
      </c>
      <c r="R168" s="115">
        <f>R167/R110</f>
        <v>0.20027347796005093</v>
      </c>
      <c r="S168" s="115" t="e">
        <f>S167/S110</f>
        <v>#DIV/0!</v>
      </c>
      <c r="T168" s="115"/>
      <c r="U168" s="115"/>
      <c r="V168" s="115">
        <f t="shared" ref="V168:AG168" si="68">V167/V110</f>
        <v>0.20002440313987066</v>
      </c>
      <c r="W168" s="115" t="e">
        <f t="shared" si="68"/>
        <v>#DIV/0!</v>
      </c>
      <c r="X168" s="115" t="e">
        <f t="shared" si="68"/>
        <v>#DIV/0!</v>
      </c>
      <c r="Y168" s="115" t="e">
        <f t="shared" si="68"/>
        <v>#DIV/0!</v>
      </c>
      <c r="Z168" s="115" t="e">
        <f t="shared" si="68"/>
        <v>#DIV/0!</v>
      </c>
      <c r="AA168" s="115" t="e">
        <f t="shared" si="68"/>
        <v>#DIV/0!</v>
      </c>
      <c r="AB168" s="115"/>
      <c r="AC168" s="115">
        <f t="shared" si="68"/>
        <v>0.20286806797249032</v>
      </c>
      <c r="AD168" s="115" t="e">
        <f t="shared" si="68"/>
        <v>#DIV/0!</v>
      </c>
      <c r="AE168" s="115" t="e">
        <f t="shared" si="68"/>
        <v>#DIV/0!</v>
      </c>
      <c r="AF168" s="115" t="e">
        <f t="shared" si="68"/>
        <v>#DIV/0!</v>
      </c>
      <c r="AG168" s="115">
        <f t="shared" si="68"/>
        <v>0.14991195901551371</v>
      </c>
    </row>
    <row r="169" spans="1:33" s="15" customFormat="1" ht="20.100000000000001" customHeight="1">
      <c r="A169" s="460"/>
      <c r="B169" s="438" t="s">
        <v>12</v>
      </c>
      <c r="C169" s="439"/>
      <c r="D169" s="113">
        <f>D111-D15</f>
        <v>191184</v>
      </c>
      <c r="E169" s="113">
        <f>E111-E15</f>
        <v>0</v>
      </c>
      <c r="F169" s="113">
        <f>F113-F15</f>
        <v>0</v>
      </c>
      <c r="G169" s="113">
        <f>G111-G15</f>
        <v>0</v>
      </c>
      <c r="H169" s="113">
        <f>H113-H15</f>
        <v>0</v>
      </c>
      <c r="I169" s="113">
        <f>I113-I15</f>
        <v>49080</v>
      </c>
      <c r="J169" s="113">
        <f>J113-J15</f>
        <v>0</v>
      </c>
      <c r="K169" s="113">
        <f t="shared" ref="K169:S169" si="69">K111-K15</f>
        <v>0</v>
      </c>
      <c r="L169" s="113">
        <f t="shared" si="69"/>
        <v>0</v>
      </c>
      <c r="M169" s="113">
        <f t="shared" si="69"/>
        <v>0</v>
      </c>
      <c r="N169" s="113">
        <f t="shared" si="69"/>
        <v>0</v>
      </c>
      <c r="O169" s="113">
        <f t="shared" si="69"/>
        <v>0</v>
      </c>
      <c r="P169" s="113">
        <f t="shared" si="69"/>
        <v>0</v>
      </c>
      <c r="Q169" s="113">
        <f t="shared" si="69"/>
        <v>0</v>
      </c>
      <c r="R169" s="113">
        <f t="shared" si="69"/>
        <v>235812</v>
      </c>
      <c r="S169" s="113">
        <f t="shared" si="69"/>
        <v>0</v>
      </c>
      <c r="T169" s="113"/>
      <c r="U169" s="113"/>
      <c r="V169" s="113">
        <f t="shared" ref="V169:AF169" si="70">V111-V15</f>
        <v>0</v>
      </c>
      <c r="W169" s="113">
        <f t="shared" si="70"/>
        <v>0</v>
      </c>
      <c r="X169" s="113">
        <f t="shared" si="70"/>
        <v>0</v>
      </c>
      <c r="Y169" s="113">
        <f t="shared" si="70"/>
        <v>0</v>
      </c>
      <c r="Z169" s="113">
        <f t="shared" si="70"/>
        <v>0</v>
      </c>
      <c r="AA169" s="113">
        <f t="shared" si="70"/>
        <v>0</v>
      </c>
      <c r="AB169" s="113"/>
      <c r="AC169" s="113">
        <f t="shared" si="70"/>
        <v>0</v>
      </c>
      <c r="AD169" s="113">
        <f t="shared" si="70"/>
        <v>0</v>
      </c>
      <c r="AE169" s="113">
        <f t="shared" si="70"/>
        <v>0</v>
      </c>
      <c r="AF169" s="113">
        <f t="shared" si="70"/>
        <v>0</v>
      </c>
      <c r="AG169" s="75">
        <f>SUM(D169:AC169)</f>
        <v>476076</v>
      </c>
    </row>
    <row r="170" spans="1:33" s="15" customFormat="1" ht="20.100000000000001" customHeight="1">
      <c r="A170" s="460"/>
      <c r="B170" s="438"/>
      <c r="C170" s="439"/>
      <c r="D170" s="114">
        <f>D169/D111</f>
        <v>0.21335404558480864</v>
      </c>
      <c r="E170" s="114" t="e">
        <f>E169/E111</f>
        <v>#DIV/0!</v>
      </c>
      <c r="F170" s="114" t="e">
        <f>F169/F113</f>
        <v>#DIV/0!</v>
      </c>
      <c r="G170" s="114" t="e">
        <f>G169/G111</f>
        <v>#DIV/0!</v>
      </c>
      <c r="H170" s="114" t="e">
        <f>H169/H113</f>
        <v>#DIV/0!</v>
      </c>
      <c r="I170" s="114">
        <f>I169/I113</f>
        <v>1</v>
      </c>
      <c r="J170" s="114" t="e">
        <f>J169/J113</f>
        <v>#DIV/0!</v>
      </c>
      <c r="K170" s="114" t="e">
        <f>K169/K111</f>
        <v>#DIV/0!</v>
      </c>
      <c r="L170" s="114" t="e">
        <f>L169/L113</f>
        <v>#DIV/0!</v>
      </c>
      <c r="M170" s="114" t="e">
        <f>M169/M111</f>
        <v>#DIV/0!</v>
      </c>
      <c r="N170" s="114" t="e">
        <f>N169/N111</f>
        <v>#DIV/0!</v>
      </c>
      <c r="O170" s="114" t="e">
        <f>O169/O113</f>
        <v>#DIV/0!</v>
      </c>
      <c r="P170" s="114" t="e">
        <f>P169/P111</f>
        <v>#DIV/0!</v>
      </c>
      <c r="Q170" s="114" t="e">
        <f>Q169/Q111</f>
        <v>#DIV/0!</v>
      </c>
      <c r="R170" s="114">
        <f>R169/R111</f>
        <v>0.20974266471699524</v>
      </c>
      <c r="S170" s="114" t="e">
        <f>S169/S111</f>
        <v>#DIV/0!</v>
      </c>
      <c r="T170" s="114"/>
      <c r="U170" s="114"/>
      <c r="V170" s="114" t="e">
        <f t="shared" ref="V170:AF170" si="71">V169/V111</f>
        <v>#DIV/0!</v>
      </c>
      <c r="W170" s="114" t="e">
        <f t="shared" si="71"/>
        <v>#DIV/0!</v>
      </c>
      <c r="X170" s="114" t="e">
        <f t="shared" si="71"/>
        <v>#DIV/0!</v>
      </c>
      <c r="Y170" s="114" t="e">
        <f t="shared" si="71"/>
        <v>#DIV/0!</v>
      </c>
      <c r="Z170" s="114" t="e">
        <f t="shared" si="71"/>
        <v>#DIV/0!</v>
      </c>
      <c r="AA170" s="114" t="e">
        <f t="shared" si="71"/>
        <v>#DIV/0!</v>
      </c>
      <c r="AB170" s="114"/>
      <c r="AC170" s="114" t="e">
        <f t="shared" si="71"/>
        <v>#DIV/0!</v>
      </c>
      <c r="AD170" s="114" t="e">
        <f t="shared" si="71"/>
        <v>#DIV/0!</v>
      </c>
      <c r="AE170" s="114" t="e">
        <f t="shared" si="71"/>
        <v>#DIV/0!</v>
      </c>
      <c r="AF170" s="114" t="e">
        <f t="shared" si="71"/>
        <v>#DIV/0!</v>
      </c>
      <c r="AG170" s="115">
        <f>AG169/AG113</f>
        <v>0.59890930362747752</v>
      </c>
    </row>
    <row r="171" spans="1:33" s="15" customFormat="1" ht="20.100000000000001" customHeight="1">
      <c r="A171" s="460"/>
      <c r="B171" s="438" t="s">
        <v>49</v>
      </c>
      <c r="C171" s="439"/>
      <c r="D171" s="74">
        <f>D112-D17</f>
        <v>13100</v>
      </c>
      <c r="E171" s="74">
        <f>E112-E17</f>
        <v>0</v>
      </c>
      <c r="F171" s="74">
        <f>F114-F17</f>
        <v>0</v>
      </c>
      <c r="G171" s="74">
        <f>G112-G17</f>
        <v>0</v>
      </c>
      <c r="H171" s="74">
        <f>H114-H17</f>
        <v>0</v>
      </c>
      <c r="I171" s="74">
        <f>I114-I17</f>
        <v>0</v>
      </c>
      <c r="J171" s="74">
        <f>J114-J17</f>
        <v>0</v>
      </c>
      <c r="K171" s="74">
        <f>K114-K17</f>
        <v>0</v>
      </c>
      <c r="L171" s="74">
        <f>L114-L17</f>
        <v>0</v>
      </c>
      <c r="M171" s="74">
        <f>M112-M17</f>
        <v>0</v>
      </c>
      <c r="N171" s="74"/>
      <c r="O171" s="74">
        <f>O114-O17</f>
        <v>0</v>
      </c>
      <c r="P171" s="74">
        <f>P114-P17</f>
        <v>0</v>
      </c>
      <c r="Q171" s="74">
        <f>Q114-Q17</f>
        <v>0</v>
      </c>
      <c r="R171" s="74">
        <f>R114-R17</f>
        <v>231708</v>
      </c>
      <c r="S171" s="74">
        <f>S114-S17</f>
        <v>0</v>
      </c>
      <c r="T171" s="74"/>
      <c r="U171" s="74"/>
      <c r="V171" s="74">
        <f t="shared" ref="V171:AF171" si="72">V114-V17</f>
        <v>0</v>
      </c>
      <c r="W171" s="74">
        <f t="shared" si="72"/>
        <v>0</v>
      </c>
      <c r="X171" s="74">
        <f t="shared" si="72"/>
        <v>0</v>
      </c>
      <c r="Y171" s="74">
        <f>Y112-Y17</f>
        <v>109440</v>
      </c>
      <c r="Z171" s="74">
        <f t="shared" si="72"/>
        <v>0</v>
      </c>
      <c r="AA171" s="74">
        <f t="shared" si="72"/>
        <v>0</v>
      </c>
      <c r="AB171" s="74"/>
      <c r="AC171" s="74">
        <f t="shared" si="72"/>
        <v>0</v>
      </c>
      <c r="AD171" s="74">
        <f t="shared" si="72"/>
        <v>0</v>
      </c>
      <c r="AE171" s="74">
        <f t="shared" si="72"/>
        <v>0</v>
      </c>
      <c r="AF171" s="74">
        <f t="shared" si="72"/>
        <v>0</v>
      </c>
      <c r="AG171" s="75">
        <f>SUM(D171:AF171)</f>
        <v>354248</v>
      </c>
    </row>
    <row r="172" spans="1:33" s="15" customFormat="1" ht="20.100000000000001" customHeight="1">
      <c r="A172" s="460"/>
      <c r="B172" s="438"/>
      <c r="C172" s="439"/>
      <c r="D172" s="114">
        <f>D171/D112</f>
        <v>0.20012221203788574</v>
      </c>
      <c r="E172" s="114" t="e">
        <f>E171/E112</f>
        <v>#DIV/0!</v>
      </c>
      <c r="F172" s="114" t="e">
        <f>F171/F114</f>
        <v>#DIV/0!</v>
      </c>
      <c r="G172" s="114" t="e">
        <f>G171/G112</f>
        <v>#DIV/0!</v>
      </c>
      <c r="H172" s="114" t="e">
        <f>H171/H114</f>
        <v>#DIV/0!</v>
      </c>
      <c r="I172" s="114" t="e">
        <f>I171/I114</f>
        <v>#DIV/0!</v>
      </c>
      <c r="J172" s="114" t="e">
        <f>J171/J114</f>
        <v>#DIV/0!</v>
      </c>
      <c r="K172" s="114" t="e">
        <f>K171/K114</f>
        <v>#DIV/0!</v>
      </c>
      <c r="L172" s="114" t="e">
        <f>L171/L114</f>
        <v>#DIV/0!</v>
      </c>
      <c r="M172" s="114" t="e">
        <f>M171/M112</f>
        <v>#DIV/0!</v>
      </c>
      <c r="N172" s="114"/>
      <c r="O172" s="114" t="e">
        <f>O171/O114</f>
        <v>#DIV/0!</v>
      </c>
      <c r="P172" s="114" t="e">
        <f>P171/P114</f>
        <v>#DIV/0!</v>
      </c>
      <c r="Q172" s="114" t="e">
        <f>Q171/Q114</f>
        <v>#DIV/0!</v>
      </c>
      <c r="R172" s="114">
        <f>R171/R114</f>
        <v>1</v>
      </c>
      <c r="S172" s="114" t="e">
        <f>S171/S114</f>
        <v>#DIV/0!</v>
      </c>
      <c r="T172" s="114"/>
      <c r="U172" s="114"/>
      <c r="V172" s="114" t="e">
        <f t="shared" ref="V172:AG172" si="73">V171/V114</f>
        <v>#DIV/0!</v>
      </c>
      <c r="W172" s="114" t="e">
        <f t="shared" si="73"/>
        <v>#DIV/0!</v>
      </c>
      <c r="X172" s="114" t="e">
        <f t="shared" si="73"/>
        <v>#DIV/0!</v>
      </c>
      <c r="Y172" s="114">
        <f>Y171/Y112</f>
        <v>0.37673496364838072</v>
      </c>
      <c r="Z172" s="114" t="e">
        <f t="shared" si="73"/>
        <v>#DIV/0!</v>
      </c>
      <c r="AA172" s="114" t="e">
        <f t="shared" si="73"/>
        <v>#DIV/0!</v>
      </c>
      <c r="AB172" s="114"/>
      <c r="AC172" s="114" t="e">
        <f t="shared" si="73"/>
        <v>#DIV/0!</v>
      </c>
      <c r="AD172" s="114" t="e">
        <f t="shared" si="73"/>
        <v>#DIV/0!</v>
      </c>
      <c r="AE172" s="114" t="e">
        <f t="shared" si="73"/>
        <v>#DIV/0!</v>
      </c>
      <c r="AF172" s="114" t="e">
        <f t="shared" si="73"/>
        <v>#DIV/0!</v>
      </c>
      <c r="AG172" s="115">
        <f t="shared" si="73"/>
        <v>1.0594617873826884</v>
      </c>
    </row>
    <row r="173" spans="1:33" s="15" customFormat="1" ht="20.100000000000001" customHeight="1">
      <c r="A173" s="460"/>
      <c r="B173" s="438" t="s">
        <v>32</v>
      </c>
      <c r="C173" s="439"/>
      <c r="D173" s="75">
        <f>D113-D19</f>
        <v>2400</v>
      </c>
      <c r="E173" s="75">
        <f>E113-E19</f>
        <v>0</v>
      </c>
      <c r="F173" s="75" t="e">
        <f>#REF!-F19</f>
        <v>#REF!</v>
      </c>
      <c r="G173" s="75">
        <f t="shared" ref="G173:S173" si="74">G113-G19</f>
        <v>-400</v>
      </c>
      <c r="H173" s="75">
        <f t="shared" si="74"/>
        <v>0</v>
      </c>
      <c r="I173" s="75">
        <f t="shared" si="74"/>
        <v>9600</v>
      </c>
      <c r="J173" s="75">
        <f t="shared" si="74"/>
        <v>0</v>
      </c>
      <c r="K173" s="75">
        <f t="shared" si="74"/>
        <v>0</v>
      </c>
      <c r="L173" s="75">
        <f t="shared" si="74"/>
        <v>0</v>
      </c>
      <c r="M173" s="75">
        <f t="shared" si="74"/>
        <v>0</v>
      </c>
      <c r="N173" s="75">
        <f t="shared" si="74"/>
        <v>0</v>
      </c>
      <c r="O173" s="75">
        <f t="shared" si="74"/>
        <v>0</v>
      </c>
      <c r="P173" s="75">
        <f t="shared" si="74"/>
        <v>0</v>
      </c>
      <c r="Q173" s="75">
        <f t="shared" si="74"/>
        <v>-550</v>
      </c>
      <c r="R173" s="75">
        <f t="shared" si="74"/>
        <v>87288</v>
      </c>
      <c r="S173" s="75">
        <f t="shared" si="74"/>
        <v>0</v>
      </c>
      <c r="T173" s="75"/>
      <c r="U173" s="75"/>
      <c r="V173" s="75">
        <f t="shared" ref="V173:AF173" si="75">V113-V19</f>
        <v>8280</v>
      </c>
      <c r="W173" s="75">
        <f t="shared" si="75"/>
        <v>0</v>
      </c>
      <c r="X173" s="75">
        <f t="shared" si="75"/>
        <v>0</v>
      </c>
      <c r="Y173" s="75">
        <f t="shared" si="75"/>
        <v>0</v>
      </c>
      <c r="Z173" s="75">
        <f t="shared" si="75"/>
        <v>1052</v>
      </c>
      <c r="AA173" s="75">
        <f t="shared" si="75"/>
        <v>0</v>
      </c>
      <c r="AB173" s="75"/>
      <c r="AC173" s="75">
        <f t="shared" si="75"/>
        <v>19800</v>
      </c>
      <c r="AD173" s="75">
        <f t="shared" si="75"/>
        <v>400</v>
      </c>
      <c r="AE173" s="75">
        <f t="shared" si="75"/>
        <v>8118</v>
      </c>
      <c r="AF173" s="75">
        <f t="shared" si="75"/>
        <v>0</v>
      </c>
      <c r="AG173" s="75" t="e">
        <f>SUM(D173:AC173)</f>
        <v>#REF!</v>
      </c>
    </row>
    <row r="174" spans="1:33" s="15" customFormat="1" ht="20.100000000000001" customHeight="1">
      <c r="A174" s="460"/>
      <c r="B174" s="438"/>
      <c r="C174" s="439"/>
      <c r="D174" s="115">
        <f>D173/D113</f>
        <v>0.17804154302670624</v>
      </c>
      <c r="E174" s="115" t="e">
        <f>E173/E113</f>
        <v>#DIV/0!</v>
      </c>
      <c r="F174" s="115" t="e">
        <f>F173/#REF!</f>
        <v>#REF!</v>
      </c>
      <c r="G174" s="115">
        <f t="shared" ref="G174:S174" si="76">G173/G113</f>
        <v>-0.43478260869565216</v>
      </c>
      <c r="H174" s="115" t="e">
        <f t="shared" si="76"/>
        <v>#DIV/0!</v>
      </c>
      <c r="I174" s="115">
        <f t="shared" si="76"/>
        <v>0.19559902200488999</v>
      </c>
      <c r="J174" s="115" t="e">
        <f t="shared" si="76"/>
        <v>#DIV/0!</v>
      </c>
      <c r="K174" s="115" t="e">
        <f t="shared" si="76"/>
        <v>#DIV/0!</v>
      </c>
      <c r="L174" s="115" t="e">
        <f t="shared" si="76"/>
        <v>#DIV/0!</v>
      </c>
      <c r="M174" s="115" t="e">
        <f t="shared" si="76"/>
        <v>#DIV/0!</v>
      </c>
      <c r="N174" s="115" t="e">
        <f t="shared" si="76"/>
        <v>#DIV/0!</v>
      </c>
      <c r="O174" s="115" t="e">
        <f t="shared" si="76"/>
        <v>#DIV/0!</v>
      </c>
      <c r="P174" s="115" t="e">
        <f t="shared" si="76"/>
        <v>#DIV/0!</v>
      </c>
      <c r="Q174" s="115">
        <f t="shared" si="76"/>
        <v>-2.3913043478260869</v>
      </c>
      <c r="R174" s="115">
        <f t="shared" si="76"/>
        <v>0.2268941638853364</v>
      </c>
      <c r="S174" s="115" t="e">
        <f t="shared" si="76"/>
        <v>#DIV/0!</v>
      </c>
      <c r="T174" s="115"/>
      <c r="U174" s="115"/>
      <c r="V174" s="115">
        <f t="shared" ref="V174:AF174" si="77">V173/V113</f>
        <v>0.21461897356143078</v>
      </c>
      <c r="W174" s="115" t="e">
        <f t="shared" si="77"/>
        <v>#DIV/0!</v>
      </c>
      <c r="X174" s="115" t="e">
        <f t="shared" si="77"/>
        <v>#DIV/0!</v>
      </c>
      <c r="Y174" s="115" t="e">
        <f t="shared" si="77"/>
        <v>#DIV/0!</v>
      </c>
      <c r="Z174" s="115">
        <f t="shared" si="77"/>
        <v>3.4295028524857378E-2</v>
      </c>
      <c r="AA174" s="115" t="e">
        <f t="shared" si="77"/>
        <v>#DIV/0!</v>
      </c>
      <c r="AB174" s="115"/>
      <c r="AC174" s="115">
        <f t="shared" si="77"/>
        <v>0.2017114914425428</v>
      </c>
      <c r="AD174" s="115">
        <f t="shared" si="77"/>
        <v>8.6956521739130432E-2</v>
      </c>
      <c r="AE174" s="115">
        <f t="shared" si="77"/>
        <v>0.2303370786516854</v>
      </c>
      <c r="AF174" s="115" t="e">
        <f t="shared" si="77"/>
        <v>#DIV/0!</v>
      </c>
      <c r="AG174" s="115" t="e">
        <f>AG173/#REF!</f>
        <v>#REF!</v>
      </c>
    </row>
    <row r="175" spans="1:33" s="15" customFormat="1" ht="20.100000000000001" customHeight="1">
      <c r="A175" s="460"/>
      <c r="B175" s="418" t="s">
        <v>15</v>
      </c>
      <c r="C175" s="440"/>
      <c r="D175" s="113">
        <f>D114-D21</f>
        <v>5328</v>
      </c>
      <c r="E175" s="113">
        <f>E114-E21</f>
        <v>0</v>
      </c>
      <c r="F175" s="113">
        <f>F115-F21</f>
        <v>3133</v>
      </c>
      <c r="G175" s="113">
        <f>G114-G21</f>
        <v>0</v>
      </c>
      <c r="H175" s="113">
        <f>H115-H21</f>
        <v>0</v>
      </c>
      <c r="I175" s="113">
        <f>I115-I21</f>
        <v>129024</v>
      </c>
      <c r="J175" s="113">
        <f>J115-J21</f>
        <v>0</v>
      </c>
      <c r="K175" s="113"/>
      <c r="L175" s="113">
        <f>L115-L21</f>
        <v>0</v>
      </c>
      <c r="M175" s="113"/>
      <c r="N175" s="113"/>
      <c r="O175" s="113">
        <f>O115-O21</f>
        <v>0</v>
      </c>
      <c r="P175" s="113">
        <f>P114-P21</f>
        <v>0</v>
      </c>
      <c r="Q175" s="113">
        <f>Q114-Q21</f>
        <v>0</v>
      </c>
      <c r="R175" s="113">
        <f>R114-R21</f>
        <v>44106</v>
      </c>
      <c r="S175" s="113">
        <f>S114-S21</f>
        <v>0</v>
      </c>
      <c r="T175" s="113"/>
      <c r="U175" s="113"/>
      <c r="V175" s="113">
        <f t="shared" ref="V175:AF175" si="78">V114-V21</f>
        <v>0</v>
      </c>
      <c r="W175" s="113">
        <f t="shared" si="78"/>
        <v>0</v>
      </c>
      <c r="X175" s="113">
        <f t="shared" si="78"/>
        <v>0</v>
      </c>
      <c r="Y175" s="113">
        <f t="shared" si="78"/>
        <v>22114</v>
      </c>
      <c r="Z175" s="113">
        <f t="shared" si="78"/>
        <v>0</v>
      </c>
      <c r="AA175" s="113">
        <f t="shared" si="78"/>
        <v>0</v>
      </c>
      <c r="AB175" s="113"/>
      <c r="AC175" s="113">
        <f t="shared" si="78"/>
        <v>0</v>
      </c>
      <c r="AD175" s="113">
        <f t="shared" si="78"/>
        <v>0</v>
      </c>
      <c r="AE175" s="113">
        <f t="shared" si="78"/>
        <v>0</v>
      </c>
      <c r="AF175" s="113">
        <f t="shared" si="78"/>
        <v>0</v>
      </c>
      <c r="AG175" s="75">
        <f>SUM(D175:AF175)</f>
        <v>203705</v>
      </c>
    </row>
    <row r="176" spans="1:33" s="15" customFormat="1" ht="20.100000000000001" customHeight="1">
      <c r="A176" s="460"/>
      <c r="B176" s="420"/>
      <c r="C176" s="441"/>
      <c r="D176" s="114">
        <f>D175/D114</f>
        <v>0.19892473118279569</v>
      </c>
      <c r="E176" s="114" t="e">
        <f>E175/E114</f>
        <v>#DIV/0!</v>
      </c>
      <c r="F176" s="114">
        <f>F175/F115</f>
        <v>1</v>
      </c>
      <c r="G176" s="114" t="e">
        <f>G175/G114</f>
        <v>#DIV/0!</v>
      </c>
      <c r="H176" s="114" t="e">
        <f>H175/H115</f>
        <v>#DIV/0!</v>
      </c>
      <c r="I176" s="114">
        <f>I175/I115</f>
        <v>1</v>
      </c>
      <c r="J176" s="114" t="e">
        <f>J175/J115</f>
        <v>#DIV/0!</v>
      </c>
      <c r="K176" s="114"/>
      <c r="L176" s="114" t="e">
        <f>L175/L115</f>
        <v>#DIV/0!</v>
      </c>
      <c r="M176" s="114"/>
      <c r="N176" s="114"/>
      <c r="O176" s="114" t="e">
        <f>O175/O115</f>
        <v>#DIV/0!</v>
      </c>
      <c r="P176" s="114" t="e">
        <f>P175/P114</f>
        <v>#DIV/0!</v>
      </c>
      <c r="Q176" s="114" t="e">
        <f>Q175/Q114</f>
        <v>#DIV/0!</v>
      </c>
      <c r="R176" s="114">
        <f>R175/R114</f>
        <v>0.19035164948987518</v>
      </c>
      <c r="S176" s="114" t="e">
        <f>S175/S114</f>
        <v>#DIV/0!</v>
      </c>
      <c r="T176" s="114"/>
      <c r="U176" s="114"/>
      <c r="V176" s="114" t="e">
        <f t="shared" ref="V176:AF176" si="79">V175/V114</f>
        <v>#DIV/0!</v>
      </c>
      <c r="W176" s="114" t="e">
        <f t="shared" si="79"/>
        <v>#DIV/0!</v>
      </c>
      <c r="X176" s="114" t="e">
        <f t="shared" si="79"/>
        <v>#DIV/0!</v>
      </c>
      <c r="Y176" s="114">
        <f t="shared" si="79"/>
        <v>0.29145688905290351</v>
      </c>
      <c r="Z176" s="114" t="e">
        <f t="shared" si="79"/>
        <v>#DIV/0!</v>
      </c>
      <c r="AA176" s="114" t="e">
        <f t="shared" si="79"/>
        <v>#DIV/0!</v>
      </c>
      <c r="AB176" s="114"/>
      <c r="AC176" s="114" t="e">
        <f t="shared" si="79"/>
        <v>#DIV/0!</v>
      </c>
      <c r="AD176" s="114" t="e">
        <f t="shared" si="79"/>
        <v>#DIV/0!</v>
      </c>
      <c r="AE176" s="114" t="e">
        <f t="shared" si="79"/>
        <v>#DIV/0!</v>
      </c>
      <c r="AF176" s="114" t="e">
        <f t="shared" si="79"/>
        <v>#DIV/0!</v>
      </c>
      <c r="AG176" s="115">
        <f>AG175/AG115</f>
        <v>0.20489070249534053</v>
      </c>
    </row>
    <row r="177" spans="1:33" s="15" customFormat="1" ht="20.100000000000001" customHeight="1">
      <c r="A177" s="460"/>
      <c r="B177" s="418" t="s">
        <v>50</v>
      </c>
      <c r="C177" s="440"/>
      <c r="D177" s="113" t="e">
        <f>#REF!-D23</f>
        <v>#REF!</v>
      </c>
      <c r="E177" s="113" t="e">
        <f>#REF!-E23</f>
        <v>#REF!</v>
      </c>
      <c r="F177" s="113">
        <f>F116-F23</f>
        <v>2535</v>
      </c>
      <c r="G177" s="113" t="e">
        <f>#REF!-G23</f>
        <v>#REF!</v>
      </c>
      <c r="H177" s="113">
        <f>H116-H23</f>
        <v>0</v>
      </c>
      <c r="I177" s="113">
        <f>I116-I23</f>
        <v>0</v>
      </c>
      <c r="J177" s="113">
        <f>J116-J23</f>
        <v>0</v>
      </c>
      <c r="K177" s="113"/>
      <c r="L177" s="113">
        <f>L116-L23</f>
        <v>0</v>
      </c>
      <c r="M177" s="113"/>
      <c r="N177" s="113"/>
      <c r="O177" s="113">
        <f>O116-O23</f>
        <v>0</v>
      </c>
      <c r="P177" s="113" t="e">
        <f>#REF!-P23</f>
        <v>#REF!</v>
      </c>
      <c r="Q177" s="113" t="e">
        <f>#REF!-Q23</f>
        <v>#REF!</v>
      </c>
      <c r="R177" s="113" t="e">
        <f>#REF!-R23</f>
        <v>#REF!</v>
      </c>
      <c r="S177" s="113" t="e">
        <f>#REF!-S23</f>
        <v>#REF!</v>
      </c>
      <c r="T177" s="113"/>
      <c r="U177" s="113"/>
      <c r="V177" s="113" t="e">
        <f>#REF!-V23</f>
        <v>#REF!</v>
      </c>
      <c r="W177" s="113" t="e">
        <f>#REF!-W23</f>
        <v>#REF!</v>
      </c>
      <c r="X177" s="113" t="e">
        <f>#REF!-X23</f>
        <v>#REF!</v>
      </c>
      <c r="Y177" s="113" t="e">
        <f>#REF!-Y23</f>
        <v>#REF!</v>
      </c>
      <c r="Z177" s="113" t="e">
        <f>#REF!-Z23</f>
        <v>#REF!</v>
      </c>
      <c r="AA177" s="113" t="e">
        <f>#REF!-AA23</f>
        <v>#REF!</v>
      </c>
      <c r="AB177" s="113"/>
      <c r="AC177" s="113" t="e">
        <f>#REF!-AC23</f>
        <v>#REF!</v>
      </c>
      <c r="AD177" s="113" t="e">
        <f>#REF!-AD23</f>
        <v>#REF!</v>
      </c>
      <c r="AE177" s="113" t="e">
        <f>#REF!-AE23</f>
        <v>#REF!</v>
      </c>
      <c r="AF177" s="113" t="e">
        <f>#REF!-AF23</f>
        <v>#REF!</v>
      </c>
      <c r="AG177" s="75" t="e">
        <f>SUM(D177:AC177)</f>
        <v>#REF!</v>
      </c>
    </row>
    <row r="178" spans="1:33" s="15" customFormat="1" ht="20.100000000000001" customHeight="1">
      <c r="A178" s="460"/>
      <c r="B178" s="420"/>
      <c r="C178" s="441"/>
      <c r="D178" s="114" t="e">
        <f>D177/#REF!</f>
        <v>#REF!</v>
      </c>
      <c r="E178" s="114" t="e">
        <f>E177/#REF!</f>
        <v>#REF!</v>
      </c>
      <c r="F178" s="114">
        <f>F177/F116</f>
        <v>1</v>
      </c>
      <c r="G178" s="114" t="e">
        <f>G177/#REF!</f>
        <v>#REF!</v>
      </c>
      <c r="H178" s="114" t="e">
        <f>H177/H116</f>
        <v>#DIV/0!</v>
      </c>
      <c r="I178" s="114" t="e">
        <f>I177/I116</f>
        <v>#DIV/0!</v>
      </c>
      <c r="J178" s="114" t="e">
        <f>J177/J116</f>
        <v>#DIV/0!</v>
      </c>
      <c r="K178" s="114"/>
      <c r="L178" s="114" t="e">
        <f>L177/L116</f>
        <v>#DIV/0!</v>
      </c>
      <c r="M178" s="114" t="e">
        <f>M177/M124</f>
        <v>#DIV/0!</v>
      </c>
      <c r="N178" s="114"/>
      <c r="O178" s="114" t="e">
        <f>O177/O116</f>
        <v>#DIV/0!</v>
      </c>
      <c r="P178" s="114" t="e">
        <f>P177/#REF!</f>
        <v>#REF!</v>
      </c>
      <c r="Q178" s="114" t="e">
        <f>Q177/#REF!</f>
        <v>#REF!</v>
      </c>
      <c r="R178" s="114" t="e">
        <f>R177/#REF!</f>
        <v>#REF!</v>
      </c>
      <c r="S178" s="114" t="e">
        <f>S177/#REF!</f>
        <v>#REF!</v>
      </c>
      <c r="T178" s="114"/>
      <c r="U178" s="114"/>
      <c r="V178" s="114" t="e">
        <f>V177/#REF!</f>
        <v>#REF!</v>
      </c>
      <c r="W178" s="114" t="e">
        <f>W177/#REF!</f>
        <v>#REF!</v>
      </c>
      <c r="X178" s="114" t="e">
        <f>X177/#REF!</f>
        <v>#REF!</v>
      </c>
      <c r="Y178" s="114" t="e">
        <f>Y177/#REF!</f>
        <v>#REF!</v>
      </c>
      <c r="Z178" s="114" t="e">
        <f>Z177/#REF!</f>
        <v>#REF!</v>
      </c>
      <c r="AA178" s="114" t="e">
        <f>AA177/#REF!</f>
        <v>#REF!</v>
      </c>
      <c r="AB178" s="114"/>
      <c r="AC178" s="114" t="e">
        <f>AC177/#REF!</f>
        <v>#REF!</v>
      </c>
      <c r="AD178" s="114" t="e">
        <f>AD177/#REF!</f>
        <v>#REF!</v>
      </c>
      <c r="AE178" s="114" t="e">
        <f>AE177/#REF!</f>
        <v>#REF!</v>
      </c>
      <c r="AF178" s="114" t="e">
        <f>AF177/#REF!</f>
        <v>#REF!</v>
      </c>
      <c r="AG178" s="115" t="e">
        <f>AG177/AG116</f>
        <v>#REF!</v>
      </c>
    </row>
    <row r="179" spans="1:33" s="15" customFormat="1" ht="20.100000000000001" customHeight="1">
      <c r="A179" s="460"/>
      <c r="B179" s="416" t="s">
        <v>51</v>
      </c>
      <c r="C179" s="116"/>
      <c r="D179" s="113">
        <f>D115-D25</f>
        <v>54072</v>
      </c>
      <c r="E179" s="113">
        <f>E115-E25</f>
        <v>0</v>
      </c>
      <c r="F179" s="113">
        <f>F117-F25</f>
        <v>0</v>
      </c>
      <c r="G179" s="113">
        <f>G115-G25</f>
        <v>7892</v>
      </c>
      <c r="H179" s="113">
        <f>H117-H25</f>
        <v>0</v>
      </c>
      <c r="I179" s="113">
        <f>I117-I25</f>
        <v>226080</v>
      </c>
      <c r="J179" s="113">
        <f>J117-J25</f>
        <v>0</v>
      </c>
      <c r="K179" s="113">
        <f>K115-K25</f>
        <v>19300</v>
      </c>
      <c r="L179" s="113">
        <f>L115-L25</f>
        <v>0</v>
      </c>
      <c r="M179" s="113">
        <f>M115-M25</f>
        <v>0</v>
      </c>
      <c r="N179" s="113"/>
      <c r="O179" s="113">
        <f>O117-O25</f>
        <v>0</v>
      </c>
      <c r="P179" s="113">
        <f>P115-P25</f>
        <v>0</v>
      </c>
      <c r="Q179" s="113">
        <f>Q115-Q25</f>
        <v>0</v>
      </c>
      <c r="R179" s="113">
        <f>R115-R25</f>
        <v>36336</v>
      </c>
      <c r="S179" s="113">
        <f>S115-S25</f>
        <v>0</v>
      </c>
      <c r="T179" s="113"/>
      <c r="U179" s="113"/>
      <c r="V179" s="113">
        <f t="shared" ref="V179:AF179" si="80">V115-V25</f>
        <v>24792</v>
      </c>
      <c r="W179" s="113">
        <f t="shared" si="80"/>
        <v>0</v>
      </c>
      <c r="X179" s="113">
        <f t="shared" si="80"/>
        <v>0</v>
      </c>
      <c r="Y179" s="113">
        <f t="shared" si="80"/>
        <v>0</v>
      </c>
      <c r="Z179" s="113">
        <f t="shared" si="80"/>
        <v>0</v>
      </c>
      <c r="AA179" s="113">
        <f t="shared" si="80"/>
        <v>0</v>
      </c>
      <c r="AB179" s="113"/>
      <c r="AC179" s="113">
        <f t="shared" si="80"/>
        <v>0</v>
      </c>
      <c r="AD179" s="113">
        <f t="shared" si="80"/>
        <v>0</v>
      </c>
      <c r="AE179" s="113">
        <f t="shared" si="80"/>
        <v>0</v>
      </c>
      <c r="AF179" s="113">
        <f t="shared" si="80"/>
        <v>0</v>
      </c>
      <c r="AG179" s="292">
        <f>SUM(D179:AC179)</f>
        <v>368472</v>
      </c>
    </row>
    <row r="180" spans="1:33" s="15" customFormat="1" ht="20.100000000000001" customHeight="1">
      <c r="A180" s="460"/>
      <c r="B180" s="417"/>
      <c r="C180" s="116"/>
      <c r="D180" s="114">
        <f>D179/D115</f>
        <v>0.16747193934438415</v>
      </c>
      <c r="E180" s="114" t="e">
        <f>E179/E115</f>
        <v>#DIV/0!</v>
      </c>
      <c r="F180" s="114" t="e">
        <f>F179/F117</f>
        <v>#DIV/0!</v>
      </c>
      <c r="G180" s="114">
        <f>G179/G115</f>
        <v>1</v>
      </c>
      <c r="H180" s="114"/>
      <c r="I180" s="114"/>
      <c r="J180" s="114"/>
      <c r="K180" s="114">
        <f>K179/K115</f>
        <v>1</v>
      </c>
      <c r="L180" s="114" t="e">
        <f>L179/L115</f>
        <v>#DIV/0!</v>
      </c>
      <c r="M180" s="114" t="e">
        <f>M179/M115</f>
        <v>#DIV/0!</v>
      </c>
      <c r="N180" s="114"/>
      <c r="O180" s="114" t="e">
        <f>O179/O117</f>
        <v>#DIV/0!</v>
      </c>
      <c r="P180" s="114" t="e">
        <f>P179/P115</f>
        <v>#DIV/0!</v>
      </c>
      <c r="Q180" s="114" t="e">
        <f>Q179/Q115</f>
        <v>#DIV/0!</v>
      </c>
      <c r="R180" s="114">
        <f>R179/R115</f>
        <v>0.16908644181371454</v>
      </c>
      <c r="S180" s="114" t="e">
        <f>S179/S115</f>
        <v>#DIV/0!</v>
      </c>
      <c r="T180" s="114"/>
      <c r="U180" s="114"/>
      <c r="V180" s="114">
        <f t="shared" ref="V180:AF180" si="81">V179/V115</f>
        <v>0.168984132177327</v>
      </c>
      <c r="W180" s="114" t="e">
        <f t="shared" si="81"/>
        <v>#DIV/0!</v>
      </c>
      <c r="X180" s="114" t="e">
        <f t="shared" si="81"/>
        <v>#DIV/0!</v>
      </c>
      <c r="Y180" s="114" t="e">
        <f t="shared" si="81"/>
        <v>#DIV/0!</v>
      </c>
      <c r="Z180" s="114" t="e">
        <f t="shared" si="81"/>
        <v>#DIV/0!</v>
      </c>
      <c r="AA180" s="114" t="e">
        <f t="shared" si="81"/>
        <v>#DIV/0!</v>
      </c>
      <c r="AB180" s="114"/>
      <c r="AC180" s="114" t="e">
        <f t="shared" si="81"/>
        <v>#DIV/0!</v>
      </c>
      <c r="AD180" s="114" t="e">
        <f t="shared" si="81"/>
        <v>#DIV/0!</v>
      </c>
      <c r="AE180" s="114" t="e">
        <f t="shared" si="81"/>
        <v>#DIV/0!</v>
      </c>
      <c r="AF180" s="114" t="e">
        <f t="shared" si="81"/>
        <v>#DIV/0!</v>
      </c>
      <c r="AG180" s="115">
        <f>AG179/AG117</f>
        <v>0.33966814159292036</v>
      </c>
    </row>
    <row r="181" spans="1:33" s="15" customFormat="1" ht="20.100000000000001" customHeight="1">
      <c r="A181" s="460"/>
      <c r="B181" s="418" t="s">
        <v>52</v>
      </c>
      <c r="C181" s="440"/>
      <c r="D181" s="113">
        <f>D116-D27</f>
        <v>40400</v>
      </c>
      <c r="E181" s="113">
        <f>E116-E27</f>
        <v>0</v>
      </c>
      <c r="F181" s="113">
        <f>F118-F27</f>
        <v>0</v>
      </c>
      <c r="G181" s="113">
        <f>G116-G27</f>
        <v>0</v>
      </c>
      <c r="H181" s="113">
        <f>H118-H27</f>
        <v>0</v>
      </c>
      <c r="I181" s="113">
        <f>I118-I27</f>
        <v>0</v>
      </c>
      <c r="J181" s="113">
        <f>J118-J27</f>
        <v>0</v>
      </c>
      <c r="K181" s="113">
        <f t="shared" ref="K181:S181" si="82">K116-K27</f>
        <v>0</v>
      </c>
      <c r="L181" s="113">
        <f t="shared" si="82"/>
        <v>0</v>
      </c>
      <c r="M181" s="113">
        <f t="shared" si="82"/>
        <v>0</v>
      </c>
      <c r="N181" s="113">
        <f t="shared" si="82"/>
        <v>0</v>
      </c>
      <c r="O181" s="113">
        <f t="shared" si="82"/>
        <v>0</v>
      </c>
      <c r="P181" s="113">
        <f t="shared" si="82"/>
        <v>0</v>
      </c>
      <c r="Q181" s="113">
        <f t="shared" si="82"/>
        <v>0</v>
      </c>
      <c r="R181" s="113">
        <f t="shared" si="82"/>
        <v>37781</v>
      </c>
      <c r="S181" s="113">
        <f t="shared" si="82"/>
        <v>0</v>
      </c>
      <c r="T181" s="113"/>
      <c r="U181" s="113"/>
      <c r="V181" s="113">
        <f t="shared" ref="V181:AF181" si="83">V116-V27</f>
        <v>37781</v>
      </c>
      <c r="W181" s="113">
        <f t="shared" si="83"/>
        <v>0</v>
      </c>
      <c r="X181" s="113">
        <f t="shared" si="83"/>
        <v>0</v>
      </c>
      <c r="Y181" s="113">
        <f t="shared" si="83"/>
        <v>0</v>
      </c>
      <c r="Z181" s="113">
        <f t="shared" si="83"/>
        <v>0</v>
      </c>
      <c r="AA181" s="113">
        <f t="shared" si="83"/>
        <v>0</v>
      </c>
      <c r="AB181" s="113"/>
      <c r="AC181" s="113">
        <f t="shared" si="83"/>
        <v>0</v>
      </c>
      <c r="AD181" s="113">
        <f t="shared" si="83"/>
        <v>0</v>
      </c>
      <c r="AE181" s="113">
        <f t="shared" si="83"/>
        <v>0</v>
      </c>
      <c r="AF181" s="113">
        <f t="shared" si="83"/>
        <v>0</v>
      </c>
      <c r="AG181" s="75">
        <f>SUM(D181:AC181)</f>
        <v>115962</v>
      </c>
    </row>
    <row r="182" spans="1:33" s="15" customFormat="1" ht="20.100000000000001" customHeight="1">
      <c r="A182" s="460"/>
      <c r="B182" s="420"/>
      <c r="C182" s="441"/>
      <c r="D182" s="114">
        <f>D181/D116</f>
        <v>0.22134560596099057</v>
      </c>
      <c r="E182" s="114" t="e">
        <f>E181/E116</f>
        <v>#DIV/0!</v>
      </c>
      <c r="F182" s="114" t="e">
        <f>F181/F118</f>
        <v>#DIV/0!</v>
      </c>
      <c r="G182" s="293" t="e">
        <f>G181/G116</f>
        <v>#DIV/0!</v>
      </c>
      <c r="H182" s="114" t="e">
        <f>H181/H118</f>
        <v>#DIV/0!</v>
      </c>
      <c r="I182" s="114" t="e">
        <f>I181/I118</f>
        <v>#DIV/0!</v>
      </c>
      <c r="J182" s="114" t="e">
        <f>J181/J118</f>
        <v>#DIV/0!</v>
      </c>
      <c r="K182" s="114" t="e">
        <f t="shared" ref="K182:S182" si="84">K181/K116</f>
        <v>#DIV/0!</v>
      </c>
      <c r="L182" s="114" t="e">
        <f t="shared" si="84"/>
        <v>#DIV/0!</v>
      </c>
      <c r="M182" s="114" t="e">
        <f t="shared" si="84"/>
        <v>#DIV/0!</v>
      </c>
      <c r="N182" s="114" t="e">
        <f t="shared" si="84"/>
        <v>#DIV/0!</v>
      </c>
      <c r="O182" s="114" t="e">
        <f t="shared" si="84"/>
        <v>#DIV/0!</v>
      </c>
      <c r="P182" s="114" t="e">
        <f t="shared" si="84"/>
        <v>#DIV/0!</v>
      </c>
      <c r="Q182" s="114" t="e">
        <f t="shared" si="84"/>
        <v>#DIV/0!</v>
      </c>
      <c r="R182" s="114">
        <f t="shared" si="84"/>
        <v>0.20699649353495508</v>
      </c>
      <c r="S182" s="114" t="e">
        <f t="shared" si="84"/>
        <v>#DIV/0!</v>
      </c>
      <c r="T182" s="114"/>
      <c r="U182" s="114"/>
      <c r="V182" s="114">
        <f t="shared" ref="V182:AF182" si="85">V181/V116</f>
        <v>0.20699649353495508</v>
      </c>
      <c r="W182" s="114" t="e">
        <f t="shared" si="85"/>
        <v>#DIV/0!</v>
      </c>
      <c r="X182" s="114" t="e">
        <f t="shared" si="85"/>
        <v>#DIV/0!</v>
      </c>
      <c r="Y182" s="114" t="e">
        <f t="shared" si="85"/>
        <v>#DIV/0!</v>
      </c>
      <c r="Z182" s="114" t="e">
        <f t="shared" si="85"/>
        <v>#DIV/0!</v>
      </c>
      <c r="AA182" s="114" t="e">
        <f t="shared" si="85"/>
        <v>#DIV/0!</v>
      </c>
      <c r="AB182" s="114"/>
      <c r="AC182" s="114" t="e">
        <f t="shared" si="85"/>
        <v>#DIV/0!</v>
      </c>
      <c r="AD182" s="114" t="e">
        <f t="shared" si="85"/>
        <v>#DIV/0!</v>
      </c>
      <c r="AE182" s="114" t="e">
        <f t="shared" si="85"/>
        <v>#DIV/0!</v>
      </c>
      <c r="AF182" s="114" t="e">
        <f t="shared" si="85"/>
        <v>#DIV/0!</v>
      </c>
      <c r="AG182" s="115" t="e">
        <f>AG181/AG118</f>
        <v>#DIV/0!</v>
      </c>
    </row>
    <row r="183" spans="1:33" s="15" customFormat="1" ht="20.100000000000001" customHeight="1">
      <c r="A183" s="460"/>
      <c r="B183" s="416" t="s">
        <v>33</v>
      </c>
      <c r="C183" s="436"/>
      <c r="D183" s="113">
        <f>D117-D29</f>
        <v>66720</v>
      </c>
      <c r="E183" s="113">
        <f>E117-E29</f>
        <v>0</v>
      </c>
      <c r="F183" s="113">
        <f>F119-F29</f>
        <v>0</v>
      </c>
      <c r="G183" s="113">
        <f>G117-G29</f>
        <v>0</v>
      </c>
      <c r="H183" s="113">
        <f>H119-H29</f>
        <v>0</v>
      </c>
      <c r="I183" s="113">
        <f>I119-I29</f>
        <v>-144840</v>
      </c>
      <c r="J183" s="113">
        <f>J119-J29</f>
        <v>0</v>
      </c>
      <c r="K183" s="113">
        <f t="shared" ref="K183:S183" si="86">K117-K29</f>
        <v>0</v>
      </c>
      <c r="L183" s="113">
        <f t="shared" si="86"/>
        <v>0</v>
      </c>
      <c r="M183" s="113">
        <f t="shared" si="86"/>
        <v>0</v>
      </c>
      <c r="N183" s="113">
        <f t="shared" si="86"/>
        <v>0</v>
      </c>
      <c r="O183" s="113">
        <f t="shared" si="86"/>
        <v>0</v>
      </c>
      <c r="P183" s="113">
        <f t="shared" si="86"/>
        <v>0</v>
      </c>
      <c r="Q183" s="113">
        <f t="shared" si="86"/>
        <v>0</v>
      </c>
      <c r="R183" s="113">
        <f t="shared" si="86"/>
        <v>0</v>
      </c>
      <c r="S183" s="113">
        <f t="shared" si="86"/>
        <v>0</v>
      </c>
      <c r="T183" s="113"/>
      <c r="U183" s="113"/>
      <c r="V183" s="113">
        <f t="shared" ref="V183:AF183" si="87">V117-V29</f>
        <v>0</v>
      </c>
      <c r="W183" s="113">
        <f t="shared" si="87"/>
        <v>0</v>
      </c>
      <c r="X183" s="113">
        <f t="shared" si="87"/>
        <v>0</v>
      </c>
      <c r="Y183" s="113">
        <f t="shared" si="87"/>
        <v>0</v>
      </c>
      <c r="Z183" s="113">
        <f t="shared" si="87"/>
        <v>0</v>
      </c>
      <c r="AA183" s="113">
        <f t="shared" si="87"/>
        <v>0</v>
      </c>
      <c r="AB183" s="113"/>
      <c r="AC183" s="113">
        <f t="shared" si="87"/>
        <v>0</v>
      </c>
      <c r="AD183" s="113">
        <f t="shared" si="87"/>
        <v>0</v>
      </c>
      <c r="AE183" s="113">
        <f t="shared" si="87"/>
        <v>0</v>
      </c>
      <c r="AF183" s="113">
        <f t="shared" si="87"/>
        <v>0</v>
      </c>
      <c r="AG183" s="73">
        <f>SUM(D183:AC183)</f>
        <v>-78120</v>
      </c>
    </row>
    <row r="184" spans="1:33" s="15" customFormat="1" ht="20.100000000000001" customHeight="1">
      <c r="A184" s="460"/>
      <c r="B184" s="417"/>
      <c r="C184" s="437"/>
      <c r="D184" s="114">
        <f>D183/D117</f>
        <v>0.2</v>
      </c>
      <c r="E184" s="114" t="e">
        <f>E183/E117</f>
        <v>#DIV/0!</v>
      </c>
      <c r="F184" s="114" t="e">
        <f>F183/F119</f>
        <v>#DIV/0!</v>
      </c>
      <c r="G184" s="114" t="e">
        <f>G183/G117</f>
        <v>#DIV/0!</v>
      </c>
      <c r="H184" s="114" t="e">
        <f>H183/H119</f>
        <v>#DIV/0!</v>
      </c>
      <c r="I184" s="114">
        <f>I183/I119</f>
        <v>-1.1868239921337267</v>
      </c>
      <c r="J184" s="114" t="e">
        <f>J183/J119</f>
        <v>#DIV/0!</v>
      </c>
      <c r="K184" s="114" t="e">
        <f t="shared" ref="K184:S184" si="88">K183/K117</f>
        <v>#DIV/0!</v>
      </c>
      <c r="L184" s="114" t="e">
        <f t="shared" si="88"/>
        <v>#DIV/0!</v>
      </c>
      <c r="M184" s="114" t="e">
        <f t="shared" si="88"/>
        <v>#DIV/0!</v>
      </c>
      <c r="N184" s="114" t="e">
        <f t="shared" si="88"/>
        <v>#DIV/0!</v>
      </c>
      <c r="O184" s="114" t="e">
        <f t="shared" si="88"/>
        <v>#DIV/0!</v>
      </c>
      <c r="P184" s="114" t="e">
        <f t="shared" si="88"/>
        <v>#DIV/0!</v>
      </c>
      <c r="Q184" s="114" t="e">
        <f t="shared" si="88"/>
        <v>#DIV/0!</v>
      </c>
      <c r="R184" s="114" t="e">
        <f t="shared" si="88"/>
        <v>#DIV/0!</v>
      </c>
      <c r="S184" s="114" t="e">
        <f t="shared" si="88"/>
        <v>#DIV/0!</v>
      </c>
      <c r="T184" s="114"/>
      <c r="U184" s="114"/>
      <c r="V184" s="114" t="e">
        <f t="shared" ref="V184:AF184" si="89">V183/V117</f>
        <v>#DIV/0!</v>
      </c>
      <c r="W184" s="114" t="e">
        <f t="shared" si="89"/>
        <v>#DIV/0!</v>
      </c>
      <c r="X184" s="114" t="e">
        <f t="shared" si="89"/>
        <v>#DIV/0!</v>
      </c>
      <c r="Y184" s="114" t="e">
        <f t="shared" si="89"/>
        <v>#DIV/0!</v>
      </c>
      <c r="Z184" s="114" t="e">
        <f t="shared" si="89"/>
        <v>#DIV/0!</v>
      </c>
      <c r="AA184" s="114" t="e">
        <f t="shared" si="89"/>
        <v>#DIV/0!</v>
      </c>
      <c r="AB184" s="114"/>
      <c r="AC184" s="114" t="e">
        <f t="shared" si="89"/>
        <v>#DIV/0!</v>
      </c>
      <c r="AD184" s="114" t="e">
        <f t="shared" si="89"/>
        <v>#DIV/0!</v>
      </c>
      <c r="AE184" s="114" t="e">
        <f t="shared" si="89"/>
        <v>#DIV/0!</v>
      </c>
      <c r="AF184" s="114" t="e">
        <f t="shared" si="89"/>
        <v>#DIV/0!</v>
      </c>
      <c r="AG184" s="115">
        <f>AG183/AG119</f>
        <v>-0.31467517401392109</v>
      </c>
    </row>
    <row r="185" spans="1:33" s="15" customFormat="1" ht="20.100000000000001" customHeight="1">
      <c r="A185" s="460"/>
      <c r="B185" s="416" t="s">
        <v>21</v>
      </c>
      <c r="C185" s="116"/>
      <c r="D185" s="113">
        <f>D119-D33</f>
        <v>9360</v>
      </c>
      <c r="E185" s="113">
        <f>E119-E33</f>
        <v>0</v>
      </c>
      <c r="F185" s="113">
        <f>F120-F37</f>
        <v>0</v>
      </c>
      <c r="G185" s="113">
        <f>G119-G33</f>
        <v>0</v>
      </c>
      <c r="H185" s="113">
        <f>H120-H37</f>
        <v>0</v>
      </c>
      <c r="I185" s="113">
        <f>I120-I37</f>
        <v>48756</v>
      </c>
      <c r="J185" s="113">
        <f>J120-J37</f>
        <v>0</v>
      </c>
      <c r="K185" s="113">
        <f>K120-K37</f>
        <v>0</v>
      </c>
      <c r="L185" s="113">
        <f>L120-L37</f>
        <v>0</v>
      </c>
      <c r="M185" s="113">
        <f>M119-M33</f>
        <v>0</v>
      </c>
      <c r="N185" s="113">
        <f t="shared" ref="N185:S185" si="90">N120-N37</f>
        <v>0</v>
      </c>
      <c r="O185" s="113">
        <f t="shared" si="90"/>
        <v>0</v>
      </c>
      <c r="P185" s="113">
        <f t="shared" si="90"/>
        <v>0</v>
      </c>
      <c r="Q185" s="113">
        <f t="shared" si="90"/>
        <v>0</v>
      </c>
      <c r="R185" s="113">
        <f t="shared" si="90"/>
        <v>97190</v>
      </c>
      <c r="S185" s="113">
        <f t="shared" si="90"/>
        <v>0</v>
      </c>
      <c r="T185" s="113"/>
      <c r="U185" s="113"/>
      <c r="V185" s="113">
        <f t="shared" ref="V185:AF185" si="91">V120-V37</f>
        <v>0</v>
      </c>
      <c r="W185" s="113">
        <f t="shared" si="91"/>
        <v>0</v>
      </c>
      <c r="X185" s="113">
        <f t="shared" si="91"/>
        <v>0</v>
      </c>
      <c r="Y185" s="113">
        <f t="shared" si="91"/>
        <v>0</v>
      </c>
      <c r="Z185" s="113">
        <f t="shared" si="91"/>
        <v>0</v>
      </c>
      <c r="AA185" s="113">
        <f t="shared" si="91"/>
        <v>0</v>
      </c>
      <c r="AB185" s="113"/>
      <c r="AC185" s="113"/>
      <c r="AD185" s="113">
        <f t="shared" si="91"/>
        <v>0</v>
      </c>
      <c r="AE185" s="113">
        <f t="shared" si="91"/>
        <v>0</v>
      </c>
      <c r="AF185" s="113">
        <f t="shared" si="91"/>
        <v>0</v>
      </c>
      <c r="AG185" s="294">
        <f>SUM(D185:F185)</f>
        <v>9360</v>
      </c>
    </row>
    <row r="186" spans="1:33" s="15" customFormat="1" ht="20.100000000000001" customHeight="1">
      <c r="A186" s="460"/>
      <c r="B186" s="417"/>
      <c r="C186" s="116"/>
      <c r="D186" s="114">
        <f>D185/D119</f>
        <v>0.30232558139534882</v>
      </c>
      <c r="E186" s="114" t="e">
        <f>E185/E119</f>
        <v>#DIV/0!</v>
      </c>
      <c r="F186" s="114" t="e">
        <f>F185/F120</f>
        <v>#DIV/0!</v>
      </c>
      <c r="G186" s="293" t="e">
        <f>G185/G119</f>
        <v>#DIV/0!</v>
      </c>
      <c r="H186" s="114" t="e">
        <f>H185/H120</f>
        <v>#DIV/0!</v>
      </c>
      <c r="I186" s="114">
        <f>I185/I120</f>
        <v>1</v>
      </c>
      <c r="J186" s="114" t="e">
        <f>J185/J120</f>
        <v>#DIV/0!</v>
      </c>
      <c r="K186" s="114"/>
      <c r="L186" s="114"/>
      <c r="M186" s="114" t="e">
        <f>M185/M119</f>
        <v>#DIV/0!</v>
      </c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5">
        <f>AG185/AG120</f>
        <v>4.4834886906871811E-2</v>
      </c>
    </row>
    <row r="187" spans="1:33" s="15" customFormat="1" ht="20.100000000000001" customHeight="1">
      <c r="A187" s="460"/>
      <c r="B187" s="416" t="s">
        <v>22</v>
      </c>
      <c r="C187" s="436"/>
      <c r="D187" s="113">
        <f>D120-D35</f>
        <v>4500</v>
      </c>
      <c r="E187" s="113">
        <f>E120-E35</f>
        <v>0</v>
      </c>
      <c r="F187" s="113">
        <f>F121-F39</f>
        <v>0</v>
      </c>
      <c r="G187" s="113">
        <f>G120-G35</f>
        <v>0</v>
      </c>
      <c r="H187" s="113">
        <f>H121-H39</f>
        <v>0</v>
      </c>
      <c r="I187" s="113">
        <f>I121-I39</f>
        <v>-894180</v>
      </c>
      <c r="J187" s="113">
        <f>J121-J39</f>
        <v>0</v>
      </c>
      <c r="K187" s="113"/>
      <c r="L187" s="113"/>
      <c r="M187" s="113"/>
      <c r="N187" s="113"/>
      <c r="O187" s="113">
        <f>O121-O39</f>
        <v>0</v>
      </c>
      <c r="P187" s="113">
        <f>P120-P35</f>
        <v>0</v>
      </c>
      <c r="Q187" s="113">
        <f>Q120-Q35</f>
        <v>0</v>
      </c>
      <c r="R187" s="113">
        <f>R120-R35</f>
        <v>27510</v>
      </c>
      <c r="S187" s="113">
        <f>S120-S35</f>
        <v>0</v>
      </c>
      <c r="T187" s="113"/>
      <c r="U187" s="113"/>
      <c r="V187" s="113">
        <f t="shared" ref="V187:AF187" si="92">V120-V35</f>
        <v>0</v>
      </c>
      <c r="W187" s="113">
        <f t="shared" si="92"/>
        <v>0</v>
      </c>
      <c r="X187" s="113">
        <f t="shared" si="92"/>
        <v>0</v>
      </c>
      <c r="Y187" s="113">
        <f t="shared" si="92"/>
        <v>0</v>
      </c>
      <c r="Z187" s="113">
        <f t="shared" si="92"/>
        <v>0</v>
      </c>
      <c r="AA187" s="113">
        <f t="shared" si="92"/>
        <v>0</v>
      </c>
      <c r="AB187" s="113"/>
      <c r="AC187" s="113">
        <f t="shared" si="92"/>
        <v>0</v>
      </c>
      <c r="AD187" s="113">
        <f t="shared" si="92"/>
        <v>0</v>
      </c>
      <c r="AE187" s="113">
        <f t="shared" si="92"/>
        <v>0</v>
      </c>
      <c r="AF187" s="113">
        <f t="shared" si="92"/>
        <v>0</v>
      </c>
      <c r="AG187" s="73">
        <f>SUM(D187:AC187)</f>
        <v>-862170</v>
      </c>
    </row>
    <row r="188" spans="1:33" s="15" customFormat="1" ht="20.100000000000001" customHeight="1">
      <c r="A188" s="460"/>
      <c r="B188" s="417"/>
      <c r="C188" s="437"/>
      <c r="D188" s="114">
        <f>D187/D120</f>
        <v>0.2</v>
      </c>
      <c r="E188" s="114" t="e">
        <f>E187/E120</f>
        <v>#DIV/0!</v>
      </c>
      <c r="F188" s="114" t="e">
        <f>F187/F121</f>
        <v>#DIV/0!</v>
      </c>
      <c r="G188" s="293" t="e">
        <f>G187/G120</f>
        <v>#DIV/0!</v>
      </c>
      <c r="H188" s="114" t="e">
        <f>H187/H121</f>
        <v>#DIV/0!</v>
      </c>
      <c r="I188" s="114" t="e">
        <f>I187/I121</f>
        <v>#DIV/0!</v>
      </c>
      <c r="J188" s="114" t="e">
        <f>J187/J121</f>
        <v>#DIV/0!</v>
      </c>
      <c r="K188" s="114"/>
      <c r="L188" s="114" t="e">
        <f>L187/L121</f>
        <v>#DIV/0!</v>
      </c>
      <c r="M188" s="114" t="e">
        <f>M187/M137</f>
        <v>#DIV/0!</v>
      </c>
      <c r="N188" s="114"/>
      <c r="O188" s="114" t="e">
        <f>O187/O121</f>
        <v>#DIV/0!</v>
      </c>
      <c r="P188" s="114" t="e">
        <f>P187/P120</f>
        <v>#DIV/0!</v>
      </c>
      <c r="Q188" s="114" t="e">
        <f>Q187/Q120</f>
        <v>#DIV/0!</v>
      </c>
      <c r="R188" s="114">
        <f>R187/R120</f>
        <v>0.20005817758708458</v>
      </c>
      <c r="S188" s="114" t="e">
        <f>S187/S120</f>
        <v>#DIV/0!</v>
      </c>
      <c r="T188" s="114"/>
      <c r="U188" s="114"/>
      <c r="V188" s="114" t="e">
        <f t="shared" ref="V188:AF188" si="93">V187/V120</f>
        <v>#DIV/0!</v>
      </c>
      <c r="W188" s="114" t="e">
        <f t="shared" si="93"/>
        <v>#DIV/0!</v>
      </c>
      <c r="X188" s="114" t="e">
        <f t="shared" si="93"/>
        <v>#DIV/0!</v>
      </c>
      <c r="Y188" s="114" t="e">
        <f t="shared" si="93"/>
        <v>#DIV/0!</v>
      </c>
      <c r="Z188" s="114" t="e">
        <f t="shared" si="93"/>
        <v>#DIV/0!</v>
      </c>
      <c r="AA188" s="114" t="e">
        <f t="shared" si="93"/>
        <v>#DIV/0!</v>
      </c>
      <c r="AB188" s="114"/>
      <c r="AC188" s="114" t="e">
        <f t="shared" si="93"/>
        <v>#DIV/0!</v>
      </c>
      <c r="AD188" s="114" t="e">
        <f t="shared" si="93"/>
        <v>#DIV/0!</v>
      </c>
      <c r="AE188" s="114" t="e">
        <f t="shared" si="93"/>
        <v>#DIV/0!</v>
      </c>
      <c r="AF188" s="114" t="e">
        <f t="shared" si="93"/>
        <v>#DIV/0!</v>
      </c>
      <c r="AG188" s="115">
        <f>AG187/AG121</f>
        <v>-12.069244071146244</v>
      </c>
    </row>
    <row r="189" spans="1:33" s="15" customFormat="1" ht="20.100000000000001" customHeight="1">
      <c r="A189" s="460"/>
      <c r="B189" s="416" t="s">
        <v>53</v>
      </c>
      <c r="C189" s="43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292">
        <f>SUM(D189:Y189)</f>
        <v>0</v>
      </c>
    </row>
    <row r="190" spans="1:33" s="15" customFormat="1" ht="20.100000000000001" customHeight="1">
      <c r="A190" s="460"/>
      <c r="B190" s="417"/>
      <c r="C190" s="435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5">
        <f>AG189/AG122</f>
        <v>0</v>
      </c>
    </row>
    <row r="191" spans="1:33" s="15" customFormat="1" ht="20.100000000000001" customHeight="1">
      <c r="A191" s="460"/>
      <c r="B191" s="416" t="s">
        <v>25</v>
      </c>
      <c r="C191" s="436"/>
      <c r="D191" s="113">
        <f>D122-D39</f>
        <v>124516</v>
      </c>
      <c r="E191" s="113">
        <f>E122-E39</f>
        <v>0</v>
      </c>
      <c r="F191" s="113">
        <f>F123-F45</f>
        <v>0</v>
      </c>
      <c r="G191" s="113">
        <f>G122-G39</f>
        <v>0</v>
      </c>
      <c r="H191" s="113">
        <f>H123-H45</f>
        <v>-128424</v>
      </c>
      <c r="I191" s="113">
        <f>I123-I45</f>
        <v>-1384442</v>
      </c>
      <c r="J191" s="113">
        <f>J123-J45</f>
        <v>0</v>
      </c>
      <c r="K191" s="113">
        <f t="shared" ref="K191:S191" si="94">K122-K39</f>
        <v>0</v>
      </c>
      <c r="L191" s="113">
        <f t="shared" si="94"/>
        <v>0</v>
      </c>
      <c r="M191" s="113">
        <f t="shared" si="94"/>
        <v>0</v>
      </c>
      <c r="N191" s="113">
        <f t="shared" si="94"/>
        <v>0</v>
      </c>
      <c r="O191" s="113">
        <f t="shared" si="94"/>
        <v>0</v>
      </c>
      <c r="P191" s="113">
        <f t="shared" si="94"/>
        <v>0</v>
      </c>
      <c r="Q191" s="113">
        <f t="shared" si="94"/>
        <v>0</v>
      </c>
      <c r="R191" s="113">
        <f t="shared" si="94"/>
        <v>358068</v>
      </c>
      <c r="S191" s="113">
        <f t="shared" si="94"/>
        <v>0</v>
      </c>
      <c r="T191" s="113"/>
      <c r="U191" s="113"/>
      <c r="V191" s="113">
        <f t="shared" ref="V191:AF191" si="95">V122-V39</f>
        <v>59330</v>
      </c>
      <c r="W191" s="113">
        <f t="shared" si="95"/>
        <v>0</v>
      </c>
      <c r="X191" s="113">
        <f t="shared" si="95"/>
        <v>4291</v>
      </c>
      <c r="Y191" s="113">
        <f t="shared" si="95"/>
        <v>0</v>
      </c>
      <c r="Z191" s="113">
        <f t="shared" si="95"/>
        <v>0</v>
      </c>
      <c r="AA191" s="113">
        <f t="shared" si="95"/>
        <v>0</v>
      </c>
      <c r="AB191" s="113"/>
      <c r="AC191" s="113">
        <f t="shared" si="95"/>
        <v>123462</v>
      </c>
      <c r="AD191" s="113">
        <f t="shared" si="95"/>
        <v>0</v>
      </c>
      <c r="AE191" s="113">
        <f t="shared" si="95"/>
        <v>0</v>
      </c>
      <c r="AF191" s="113">
        <f t="shared" si="95"/>
        <v>0</v>
      </c>
      <c r="AG191" s="73">
        <f>SUM(D191:AC191)</f>
        <v>-843199</v>
      </c>
    </row>
    <row r="192" spans="1:33" s="15" customFormat="1" ht="20.100000000000001" customHeight="1">
      <c r="A192" s="460"/>
      <c r="B192" s="417"/>
      <c r="C192" s="437"/>
      <c r="D192" s="114">
        <f>D191/D122</f>
        <v>0.14998385923324131</v>
      </c>
      <c r="E192" s="114" t="e">
        <f>E191/E122</f>
        <v>#DIV/0!</v>
      </c>
      <c r="F192" s="114" t="e">
        <f>F191/F123</f>
        <v>#DIV/0!</v>
      </c>
      <c r="G192" s="114" t="e">
        <f>G191/G122</f>
        <v>#DIV/0!</v>
      </c>
      <c r="H192" s="114" t="e">
        <f>H191/H123</f>
        <v>#DIV/0!</v>
      </c>
      <c r="I192" s="114" t="e">
        <f>I191/I123</f>
        <v>#DIV/0!</v>
      </c>
      <c r="J192" s="114" t="e">
        <f>J191/J123</f>
        <v>#DIV/0!</v>
      </c>
      <c r="K192" s="114" t="e">
        <f t="shared" ref="K192:S192" si="96">K191/K122</f>
        <v>#DIV/0!</v>
      </c>
      <c r="L192" s="114" t="e">
        <f t="shared" si="96"/>
        <v>#DIV/0!</v>
      </c>
      <c r="M192" s="114" t="e">
        <f t="shared" si="96"/>
        <v>#DIV/0!</v>
      </c>
      <c r="N192" s="114" t="e">
        <f t="shared" si="96"/>
        <v>#DIV/0!</v>
      </c>
      <c r="O192" s="114" t="e">
        <f t="shared" si="96"/>
        <v>#DIV/0!</v>
      </c>
      <c r="P192" s="114" t="e">
        <f t="shared" si="96"/>
        <v>#DIV/0!</v>
      </c>
      <c r="Q192" s="114" t="e">
        <f t="shared" si="96"/>
        <v>#DIV/0!</v>
      </c>
      <c r="R192" s="114">
        <f t="shared" si="96"/>
        <v>0.14992287556084791</v>
      </c>
      <c r="S192" s="114" t="e">
        <f t="shared" si="96"/>
        <v>#DIV/0!</v>
      </c>
      <c r="T192" s="114"/>
      <c r="U192" s="114"/>
      <c r="V192" s="114">
        <f t="shared" ref="V192:AF192" si="97">V191/V122</f>
        <v>0.1510322531374895</v>
      </c>
      <c r="W192" s="114" t="e">
        <f t="shared" si="97"/>
        <v>#DIV/0!</v>
      </c>
      <c r="X192" s="114">
        <f t="shared" si="97"/>
        <v>0.14997728146517073</v>
      </c>
      <c r="Y192" s="114" t="e">
        <f t="shared" si="97"/>
        <v>#DIV/0!</v>
      </c>
      <c r="Z192" s="114" t="e">
        <f t="shared" si="97"/>
        <v>#DIV/0!</v>
      </c>
      <c r="AA192" s="114" t="e">
        <f t="shared" si="97"/>
        <v>#DIV/0!</v>
      </c>
      <c r="AB192" s="114"/>
      <c r="AC192" s="114">
        <f t="shared" si="97"/>
        <v>0.15000328043330879</v>
      </c>
      <c r="AD192" s="114" t="e">
        <f t="shared" si="97"/>
        <v>#DIV/0!</v>
      </c>
      <c r="AE192" s="114" t="e">
        <f t="shared" si="97"/>
        <v>#DIV/0!</v>
      </c>
      <c r="AF192" s="114" t="e">
        <f t="shared" si="97"/>
        <v>#DIV/0!</v>
      </c>
      <c r="AG192" s="115">
        <f>AG191/AG123</f>
        <v>-8.8692437151572534</v>
      </c>
    </row>
    <row r="193" spans="1:38" s="15" customFormat="1" ht="20.100000000000001" customHeight="1">
      <c r="A193" s="460"/>
      <c r="B193" s="416" t="s">
        <v>20</v>
      </c>
      <c r="C193" s="436"/>
      <c r="D193" s="113">
        <f>D123-D41</f>
        <v>6528</v>
      </c>
      <c r="E193" s="113">
        <f>E123-E41</f>
        <v>0</v>
      </c>
      <c r="F193" s="113">
        <f>F124-F33</f>
        <v>0</v>
      </c>
      <c r="G193" s="113">
        <f t="shared" ref="G193:S193" si="98">G123-G41</f>
        <v>0</v>
      </c>
      <c r="H193" s="113">
        <f t="shared" si="98"/>
        <v>0</v>
      </c>
      <c r="I193" s="113">
        <f t="shared" si="98"/>
        <v>0</v>
      </c>
      <c r="J193" s="113">
        <f t="shared" si="98"/>
        <v>0</v>
      </c>
      <c r="K193" s="113">
        <f t="shared" si="98"/>
        <v>0</v>
      </c>
      <c r="L193" s="113">
        <f t="shared" si="98"/>
        <v>0</v>
      </c>
      <c r="M193" s="113">
        <f t="shared" si="98"/>
        <v>0</v>
      </c>
      <c r="N193" s="113">
        <f t="shared" si="98"/>
        <v>0</v>
      </c>
      <c r="O193" s="113">
        <f t="shared" si="98"/>
        <v>0</v>
      </c>
      <c r="P193" s="113">
        <f t="shared" si="98"/>
        <v>0</v>
      </c>
      <c r="Q193" s="113">
        <f t="shared" si="98"/>
        <v>0</v>
      </c>
      <c r="R193" s="113">
        <f t="shared" si="98"/>
        <v>0</v>
      </c>
      <c r="S193" s="113">
        <f t="shared" si="98"/>
        <v>0</v>
      </c>
      <c r="T193" s="113"/>
      <c r="U193" s="113"/>
      <c r="V193" s="113">
        <f t="shared" ref="V193:AF193" si="99">V123-V41</f>
        <v>0</v>
      </c>
      <c r="W193" s="113">
        <f t="shared" si="99"/>
        <v>0</v>
      </c>
      <c r="X193" s="113">
        <f t="shared" si="99"/>
        <v>0</v>
      </c>
      <c r="Y193" s="113">
        <f t="shared" si="99"/>
        <v>0</v>
      </c>
      <c r="Z193" s="113">
        <f t="shared" si="99"/>
        <v>0</v>
      </c>
      <c r="AA193" s="113">
        <f t="shared" si="99"/>
        <v>0</v>
      </c>
      <c r="AB193" s="113"/>
      <c r="AC193" s="113">
        <f t="shared" si="99"/>
        <v>0</v>
      </c>
      <c r="AD193" s="113">
        <f t="shared" si="99"/>
        <v>0</v>
      </c>
      <c r="AE193" s="113">
        <f t="shared" si="99"/>
        <v>0</v>
      </c>
      <c r="AF193" s="113">
        <f t="shared" si="99"/>
        <v>0</v>
      </c>
      <c r="AG193" s="73">
        <f>SUM(D193:AC193)</f>
        <v>6528</v>
      </c>
    </row>
    <row r="194" spans="1:38" s="15" customFormat="1" ht="20.100000000000001" customHeight="1">
      <c r="A194" s="460"/>
      <c r="B194" s="417"/>
      <c r="C194" s="437"/>
      <c r="D194" s="114">
        <f>D193/D123</f>
        <v>0.17166298516882297</v>
      </c>
      <c r="E194" s="114" t="e">
        <f>E193/E123</f>
        <v>#DIV/0!</v>
      </c>
      <c r="F194" s="114" t="e">
        <f>F193/F124</f>
        <v>#DIV/0!</v>
      </c>
      <c r="G194" s="114" t="e">
        <f t="shared" ref="G194:S194" si="100">G193/G123</f>
        <v>#DIV/0!</v>
      </c>
      <c r="H194" s="114" t="e">
        <f t="shared" si="100"/>
        <v>#DIV/0!</v>
      </c>
      <c r="I194" s="114" t="e">
        <f t="shared" si="100"/>
        <v>#DIV/0!</v>
      </c>
      <c r="J194" s="114" t="e">
        <f t="shared" si="100"/>
        <v>#DIV/0!</v>
      </c>
      <c r="K194" s="114" t="e">
        <f t="shared" si="100"/>
        <v>#DIV/0!</v>
      </c>
      <c r="L194" s="114" t="e">
        <f t="shared" si="100"/>
        <v>#DIV/0!</v>
      </c>
      <c r="M194" s="114" t="e">
        <f t="shared" si="100"/>
        <v>#DIV/0!</v>
      </c>
      <c r="N194" s="114" t="e">
        <f t="shared" si="100"/>
        <v>#DIV/0!</v>
      </c>
      <c r="O194" s="114" t="e">
        <f t="shared" si="100"/>
        <v>#DIV/0!</v>
      </c>
      <c r="P194" s="114" t="e">
        <f t="shared" si="100"/>
        <v>#DIV/0!</v>
      </c>
      <c r="Q194" s="114" t="e">
        <f t="shared" si="100"/>
        <v>#DIV/0!</v>
      </c>
      <c r="R194" s="114" t="e">
        <f t="shared" si="100"/>
        <v>#DIV/0!</v>
      </c>
      <c r="S194" s="114" t="e">
        <f t="shared" si="100"/>
        <v>#DIV/0!</v>
      </c>
      <c r="T194" s="114"/>
      <c r="U194" s="114"/>
      <c r="V194" s="114" t="e">
        <f t="shared" ref="V194:AF194" si="101">V193/V123</f>
        <v>#DIV/0!</v>
      </c>
      <c r="W194" s="114" t="e">
        <f t="shared" si="101"/>
        <v>#DIV/0!</v>
      </c>
      <c r="X194" s="114" t="e">
        <f t="shared" si="101"/>
        <v>#DIV/0!</v>
      </c>
      <c r="Y194" s="114" t="e">
        <f t="shared" si="101"/>
        <v>#DIV/0!</v>
      </c>
      <c r="Z194" s="114" t="e">
        <f t="shared" si="101"/>
        <v>#DIV/0!</v>
      </c>
      <c r="AA194" s="114" t="e">
        <f t="shared" si="101"/>
        <v>#DIV/0!</v>
      </c>
      <c r="AB194" s="114"/>
      <c r="AC194" s="114" t="e">
        <f t="shared" si="101"/>
        <v>#DIV/0!</v>
      </c>
      <c r="AD194" s="114" t="e">
        <f t="shared" si="101"/>
        <v>#DIV/0!</v>
      </c>
      <c r="AE194" s="114" t="e">
        <f t="shared" si="101"/>
        <v>#DIV/0!</v>
      </c>
      <c r="AF194" s="114" t="e">
        <f t="shared" si="101"/>
        <v>#DIV/0!</v>
      </c>
      <c r="AG194" s="115">
        <f>AG193/AG124</f>
        <v>6.4399275508150537E-4</v>
      </c>
    </row>
    <row r="195" spans="1:38" s="15" customFormat="1" ht="20.100000000000001" customHeight="1">
      <c r="A195" s="460"/>
      <c r="B195" s="416" t="s">
        <v>103</v>
      </c>
      <c r="C195" s="436"/>
      <c r="D195" s="113">
        <f>D124-D43</f>
        <v>129000</v>
      </c>
      <c r="E195" s="113">
        <f>E124-E43</f>
        <v>1200</v>
      </c>
      <c r="F195" s="113">
        <f>F125-F47</f>
        <v>0</v>
      </c>
      <c r="G195" s="113">
        <f t="shared" ref="G195:S195" si="102">G124-G43</f>
        <v>0</v>
      </c>
      <c r="H195" s="113">
        <f t="shared" si="102"/>
        <v>400</v>
      </c>
      <c r="I195" s="113">
        <f t="shared" si="102"/>
        <v>299550</v>
      </c>
      <c r="J195" s="113">
        <f t="shared" si="102"/>
        <v>0</v>
      </c>
      <c r="K195" s="113">
        <f t="shared" si="102"/>
        <v>360</v>
      </c>
      <c r="L195" s="113">
        <f t="shared" si="102"/>
        <v>0</v>
      </c>
      <c r="M195" s="113">
        <f t="shared" si="102"/>
        <v>0</v>
      </c>
      <c r="N195" s="113">
        <f t="shared" si="102"/>
        <v>0</v>
      </c>
      <c r="O195" s="113">
        <f t="shared" si="102"/>
        <v>0</v>
      </c>
      <c r="P195" s="113">
        <f t="shared" si="102"/>
        <v>10400</v>
      </c>
      <c r="Q195" s="113">
        <f t="shared" si="102"/>
        <v>1200</v>
      </c>
      <c r="R195" s="113">
        <f t="shared" si="102"/>
        <v>484050</v>
      </c>
      <c r="S195" s="113">
        <f t="shared" si="102"/>
        <v>0</v>
      </c>
      <c r="T195" s="113"/>
      <c r="U195" s="113"/>
      <c r="V195" s="113">
        <f t="shared" ref="V195:AF195" si="103">V124-V43</f>
        <v>216000</v>
      </c>
      <c r="W195" s="113">
        <f t="shared" si="103"/>
        <v>0</v>
      </c>
      <c r="X195" s="113">
        <f t="shared" si="103"/>
        <v>0</v>
      </c>
      <c r="Y195" s="113">
        <f t="shared" si="103"/>
        <v>0</v>
      </c>
      <c r="Z195" s="113">
        <f t="shared" si="103"/>
        <v>10800</v>
      </c>
      <c r="AA195" s="113">
        <f t="shared" si="103"/>
        <v>0</v>
      </c>
      <c r="AB195" s="113"/>
      <c r="AC195" s="113">
        <f t="shared" si="103"/>
        <v>192000</v>
      </c>
      <c r="AD195" s="113">
        <f t="shared" si="103"/>
        <v>0</v>
      </c>
      <c r="AE195" s="113">
        <f t="shared" si="103"/>
        <v>5940</v>
      </c>
      <c r="AF195" s="113">
        <f t="shared" si="103"/>
        <v>0</v>
      </c>
      <c r="AG195" s="73">
        <f>SUM(D195:AC195)</f>
        <v>1344960</v>
      </c>
    </row>
    <row r="196" spans="1:38" s="15" customFormat="1" ht="20.100000000000001" customHeight="1">
      <c r="A196" s="460"/>
      <c r="B196" s="417"/>
      <c r="C196" s="437"/>
      <c r="D196" s="114">
        <f>D195/D124</f>
        <v>0.1799163179916318</v>
      </c>
      <c r="E196" s="114">
        <f>E195/E124</f>
        <v>0.13333333333333333</v>
      </c>
      <c r="F196" s="114" t="e">
        <f>F195/F125</f>
        <v>#DIV/0!</v>
      </c>
      <c r="G196" s="114" t="e">
        <f t="shared" ref="G196:S196" si="104">G195/G124</f>
        <v>#DIV/0!</v>
      </c>
      <c r="H196" s="114">
        <f t="shared" si="104"/>
        <v>9.0909090909090912E-2</v>
      </c>
      <c r="I196" s="114">
        <f t="shared" si="104"/>
        <v>0.19082656473960821</v>
      </c>
      <c r="J196" s="114" t="e">
        <f t="shared" si="104"/>
        <v>#DIV/0!</v>
      </c>
      <c r="K196" s="114">
        <f t="shared" si="104"/>
        <v>6.9767441860465115E-2</v>
      </c>
      <c r="L196" s="114" t="e">
        <f t="shared" si="104"/>
        <v>#DIV/0!</v>
      </c>
      <c r="M196" s="114" t="e">
        <f t="shared" si="104"/>
        <v>#DIV/0!</v>
      </c>
      <c r="N196" s="114" t="e">
        <f t="shared" si="104"/>
        <v>#DIV/0!</v>
      </c>
      <c r="O196" s="114" t="e">
        <f t="shared" si="104"/>
        <v>#DIV/0!</v>
      </c>
      <c r="P196" s="114">
        <f t="shared" si="104"/>
        <v>0.15522388059701492</v>
      </c>
      <c r="Q196" s="114">
        <f t="shared" si="104"/>
        <v>0.13333333333333333</v>
      </c>
      <c r="R196" s="114">
        <f t="shared" si="104"/>
        <v>0.19422208847427025</v>
      </c>
      <c r="S196" s="114" t="e">
        <f t="shared" si="104"/>
        <v>#DIV/0!</v>
      </c>
      <c r="T196" s="114"/>
      <c r="U196" s="114"/>
      <c r="V196" s="114">
        <f t="shared" ref="V196:AF196" si="105">V195/V124</f>
        <v>0.2</v>
      </c>
      <c r="W196" s="114" t="e">
        <f t="shared" si="105"/>
        <v>#DIV/0!</v>
      </c>
      <c r="X196" s="114" t="e">
        <f t="shared" si="105"/>
        <v>#DIV/0!</v>
      </c>
      <c r="Y196" s="114" t="e">
        <f t="shared" si="105"/>
        <v>#DIV/0!</v>
      </c>
      <c r="Z196" s="114">
        <f t="shared" si="105"/>
        <v>0.2</v>
      </c>
      <c r="AA196" s="114" t="e">
        <f t="shared" si="105"/>
        <v>#DIV/0!</v>
      </c>
      <c r="AB196" s="114"/>
      <c r="AC196" s="114">
        <f t="shared" si="105"/>
        <v>0.18604651162790697</v>
      </c>
      <c r="AD196" s="114" t="e">
        <f t="shared" si="105"/>
        <v>#DIV/0!</v>
      </c>
      <c r="AE196" s="114">
        <f t="shared" si="105"/>
        <v>0.2</v>
      </c>
      <c r="AF196" s="114" t="e">
        <f t="shared" si="105"/>
        <v>#DIV/0!</v>
      </c>
      <c r="AG196" s="115">
        <f>AG195/AG125</f>
        <v>0.22093218083795743</v>
      </c>
    </row>
    <row r="197" spans="1:38" s="15" customFormat="1" ht="20.100000000000001" customHeight="1">
      <c r="A197" s="460"/>
      <c r="B197" s="416" t="s">
        <v>127</v>
      </c>
      <c r="C197" s="436"/>
      <c r="D197" s="113">
        <f>D125-D45</f>
        <v>190920</v>
      </c>
      <c r="E197" s="113">
        <f>E125-E45</f>
        <v>3614</v>
      </c>
      <c r="F197" s="113">
        <f>F126-F53</f>
        <v>0</v>
      </c>
      <c r="G197" s="113">
        <f t="shared" ref="G197:S197" si="106">G125-G45</f>
        <v>0</v>
      </c>
      <c r="H197" s="113">
        <f t="shared" si="106"/>
        <v>27072</v>
      </c>
      <c r="I197" s="113">
        <f t="shared" si="106"/>
        <v>284370</v>
      </c>
      <c r="J197" s="113">
        <f t="shared" si="106"/>
        <v>0</v>
      </c>
      <c r="K197" s="113">
        <f t="shared" si="106"/>
        <v>3425</v>
      </c>
      <c r="L197" s="113">
        <f t="shared" si="106"/>
        <v>0</v>
      </c>
      <c r="M197" s="113">
        <f t="shared" si="106"/>
        <v>0</v>
      </c>
      <c r="N197" s="113">
        <f t="shared" si="106"/>
        <v>31420</v>
      </c>
      <c r="O197" s="113">
        <f t="shared" si="106"/>
        <v>0</v>
      </c>
      <c r="P197" s="113">
        <f t="shared" si="106"/>
        <v>0</v>
      </c>
      <c r="Q197" s="113">
        <f t="shared" si="106"/>
        <v>0</v>
      </c>
      <c r="R197" s="113">
        <f t="shared" si="106"/>
        <v>97250</v>
      </c>
      <c r="S197" s="113">
        <f t="shared" si="106"/>
        <v>0</v>
      </c>
      <c r="T197" s="113"/>
      <c r="U197" s="113"/>
      <c r="V197" s="113">
        <f t="shared" ref="V197:AF197" si="107">V125-V45</f>
        <v>261730</v>
      </c>
      <c r="W197" s="113">
        <f t="shared" si="107"/>
        <v>15652</v>
      </c>
      <c r="X197" s="113">
        <f t="shared" si="107"/>
        <v>0</v>
      </c>
      <c r="Y197" s="113">
        <f t="shared" si="107"/>
        <v>0</v>
      </c>
      <c r="Z197" s="113">
        <f t="shared" si="107"/>
        <v>0</v>
      </c>
      <c r="AA197" s="113">
        <f t="shared" si="107"/>
        <v>0</v>
      </c>
      <c r="AB197" s="113"/>
      <c r="AC197" s="113">
        <f t="shared" si="107"/>
        <v>122330</v>
      </c>
      <c r="AD197" s="113">
        <f t="shared" si="107"/>
        <v>0</v>
      </c>
      <c r="AE197" s="113">
        <f t="shared" si="107"/>
        <v>0</v>
      </c>
      <c r="AF197" s="113">
        <f t="shared" si="107"/>
        <v>0</v>
      </c>
      <c r="AG197" s="294">
        <f>SUM(D197:AC197)</f>
        <v>1037783</v>
      </c>
    </row>
    <row r="198" spans="1:38" s="15" customFormat="1" ht="20.100000000000001" customHeight="1">
      <c r="A198" s="460"/>
      <c r="B198" s="417"/>
      <c r="C198" s="437"/>
      <c r="D198" s="114">
        <f>D197/D125</f>
        <v>0.22979983389704023</v>
      </c>
      <c r="E198" s="114">
        <f>E197/E125</f>
        <v>0.17936374013598691</v>
      </c>
      <c r="F198" s="114" t="e">
        <f>F197/F126</f>
        <v>#DIV/0!</v>
      </c>
      <c r="G198" s="114" t="e">
        <f t="shared" ref="G198:S198" si="108">G197/G125</f>
        <v>#DIV/0!</v>
      </c>
      <c r="H198" s="114">
        <f t="shared" si="108"/>
        <v>0.17410094150331842</v>
      </c>
      <c r="I198" s="114">
        <f t="shared" si="108"/>
        <v>0.17040265769900984</v>
      </c>
      <c r="J198" s="114" t="e">
        <f t="shared" si="108"/>
        <v>#DIV/0!</v>
      </c>
      <c r="K198" s="114">
        <f t="shared" si="108"/>
        <v>0.16998362201598094</v>
      </c>
      <c r="L198" s="114" t="e">
        <f t="shared" si="108"/>
        <v>#DIV/0!</v>
      </c>
      <c r="M198" s="114" t="e">
        <f t="shared" si="108"/>
        <v>#DIV/0!</v>
      </c>
      <c r="N198" s="114">
        <f t="shared" si="108"/>
        <v>0.17595931990770816</v>
      </c>
      <c r="O198" s="114" t="e">
        <f t="shared" si="108"/>
        <v>#DIV/0!</v>
      </c>
      <c r="P198" s="114" t="e">
        <f t="shared" si="108"/>
        <v>#DIV/0!</v>
      </c>
      <c r="Q198" s="114" t="e">
        <f t="shared" si="108"/>
        <v>#DIV/0!</v>
      </c>
      <c r="R198" s="114">
        <f t="shared" si="108"/>
        <v>0.17551173627579436</v>
      </c>
      <c r="S198" s="114" t="e">
        <f t="shared" si="108"/>
        <v>#DIV/0!</v>
      </c>
      <c r="T198" s="114"/>
      <c r="U198" s="114"/>
      <c r="V198" s="114">
        <f t="shared" ref="V198:AF198" si="109">V197/V125</f>
        <v>0.19368068032808722</v>
      </c>
      <c r="W198" s="114">
        <f t="shared" si="109"/>
        <v>0.1732412449639173</v>
      </c>
      <c r="X198" s="114" t="e">
        <f t="shared" si="109"/>
        <v>#DIV/0!</v>
      </c>
      <c r="Y198" s="114" t="e">
        <f t="shared" si="109"/>
        <v>#DIV/0!</v>
      </c>
      <c r="Z198" s="114" t="e">
        <f t="shared" si="109"/>
        <v>#DIV/0!</v>
      </c>
      <c r="AA198" s="114" t="e">
        <f t="shared" si="109"/>
        <v>#DIV/0!</v>
      </c>
      <c r="AB198" s="114"/>
      <c r="AC198" s="114">
        <f t="shared" si="109"/>
        <v>0.17920396115025711</v>
      </c>
      <c r="AD198" s="114" t="e">
        <f t="shared" si="109"/>
        <v>#DIV/0!</v>
      </c>
      <c r="AE198" s="114" t="e">
        <f t="shared" si="109"/>
        <v>#DIV/0!</v>
      </c>
      <c r="AF198" s="114" t="e">
        <f t="shared" si="109"/>
        <v>#DIV/0!</v>
      </c>
      <c r="AG198" s="115">
        <f>AG197/AG126</f>
        <v>0.50041951446264055</v>
      </c>
    </row>
    <row r="199" spans="1:38" s="15" customFormat="1" ht="20.100000000000001" customHeight="1">
      <c r="A199" s="460"/>
      <c r="B199" s="416" t="s">
        <v>54</v>
      </c>
      <c r="C199" s="434"/>
      <c r="D199" s="113"/>
      <c r="E199" s="113"/>
      <c r="F199" s="113">
        <f>F128-F57</f>
        <v>0</v>
      </c>
      <c r="G199" s="113">
        <f t="shared" ref="G199:S199" si="110">G126-G47</f>
        <v>0</v>
      </c>
      <c r="H199" s="113">
        <f t="shared" si="110"/>
        <v>0</v>
      </c>
      <c r="I199" s="113">
        <f t="shared" si="110"/>
        <v>0</v>
      </c>
      <c r="J199" s="113">
        <f t="shared" si="110"/>
        <v>0</v>
      </c>
      <c r="K199" s="113">
        <f t="shared" si="110"/>
        <v>0</v>
      </c>
      <c r="L199" s="113">
        <f t="shared" si="110"/>
        <v>0</v>
      </c>
      <c r="M199" s="113">
        <f t="shared" si="110"/>
        <v>0</v>
      </c>
      <c r="N199" s="113">
        <f t="shared" si="110"/>
        <v>0</v>
      </c>
      <c r="O199" s="113">
        <f t="shared" si="110"/>
        <v>0</v>
      </c>
      <c r="P199" s="113">
        <f t="shared" si="110"/>
        <v>0</v>
      </c>
      <c r="Q199" s="113">
        <f t="shared" si="110"/>
        <v>0</v>
      </c>
      <c r="R199" s="113">
        <f t="shared" si="110"/>
        <v>0</v>
      </c>
      <c r="S199" s="113">
        <f t="shared" si="110"/>
        <v>0</v>
      </c>
      <c r="T199" s="113"/>
      <c r="U199" s="113"/>
      <c r="V199" s="113">
        <f t="shared" ref="V199:AF199" si="111">V126-V47</f>
        <v>0</v>
      </c>
      <c r="W199" s="113">
        <f t="shared" si="111"/>
        <v>0</v>
      </c>
      <c r="X199" s="113">
        <f t="shared" si="111"/>
        <v>0</v>
      </c>
      <c r="Y199" s="113">
        <f t="shared" si="111"/>
        <v>565366</v>
      </c>
      <c r="Z199" s="113">
        <f t="shared" si="111"/>
        <v>0</v>
      </c>
      <c r="AA199" s="113">
        <f t="shared" si="111"/>
        <v>0</v>
      </c>
      <c r="AB199" s="113"/>
      <c r="AC199" s="113">
        <f t="shared" si="111"/>
        <v>0</v>
      </c>
      <c r="AD199" s="113">
        <f t="shared" si="111"/>
        <v>0</v>
      </c>
      <c r="AE199" s="113">
        <f t="shared" si="111"/>
        <v>0</v>
      </c>
      <c r="AF199" s="113">
        <f t="shared" si="111"/>
        <v>0</v>
      </c>
      <c r="AG199" s="292">
        <f>SUM(D199:Y199)</f>
        <v>565366</v>
      </c>
    </row>
    <row r="200" spans="1:38" s="33" customFormat="1" ht="20.100000000000001" customHeight="1">
      <c r="A200" s="460"/>
      <c r="B200" s="417"/>
      <c r="C200" s="435"/>
      <c r="D200" s="114"/>
      <c r="E200" s="114"/>
      <c r="F200" s="114" t="e">
        <f>F199/F128</f>
        <v>#DIV/0!</v>
      </c>
      <c r="G200" s="114" t="e">
        <f t="shared" ref="G200:S200" si="112">G199/G126</f>
        <v>#DIV/0!</v>
      </c>
      <c r="H200" s="114" t="e">
        <f t="shared" si="112"/>
        <v>#DIV/0!</v>
      </c>
      <c r="I200" s="114" t="e">
        <f t="shared" si="112"/>
        <v>#DIV/0!</v>
      </c>
      <c r="J200" s="114" t="e">
        <f t="shared" si="112"/>
        <v>#DIV/0!</v>
      </c>
      <c r="K200" s="114" t="e">
        <f t="shared" si="112"/>
        <v>#DIV/0!</v>
      </c>
      <c r="L200" s="114" t="e">
        <f t="shared" si="112"/>
        <v>#DIV/0!</v>
      </c>
      <c r="M200" s="114" t="e">
        <f t="shared" si="112"/>
        <v>#DIV/0!</v>
      </c>
      <c r="N200" s="114" t="e">
        <f t="shared" si="112"/>
        <v>#DIV/0!</v>
      </c>
      <c r="O200" s="114" t="e">
        <f t="shared" si="112"/>
        <v>#DIV/0!</v>
      </c>
      <c r="P200" s="114" t="e">
        <f t="shared" si="112"/>
        <v>#DIV/0!</v>
      </c>
      <c r="Q200" s="114" t="e">
        <f t="shared" si="112"/>
        <v>#DIV/0!</v>
      </c>
      <c r="R200" s="114" t="e">
        <f t="shared" si="112"/>
        <v>#DIV/0!</v>
      </c>
      <c r="S200" s="114" t="e">
        <f t="shared" si="112"/>
        <v>#DIV/0!</v>
      </c>
      <c r="T200" s="114"/>
      <c r="U200" s="114"/>
      <c r="V200" s="114" t="e">
        <f t="shared" ref="V200:AF200" si="113">V199/V126</f>
        <v>#DIV/0!</v>
      </c>
      <c r="W200" s="114" t="e">
        <f t="shared" si="113"/>
        <v>#DIV/0!</v>
      </c>
      <c r="X200" s="114" t="e">
        <f t="shared" si="113"/>
        <v>#DIV/0!</v>
      </c>
      <c r="Y200" s="114">
        <f t="shared" si="113"/>
        <v>0.27261978584509983</v>
      </c>
      <c r="Z200" s="114" t="e">
        <f t="shared" si="113"/>
        <v>#DIV/0!</v>
      </c>
      <c r="AA200" s="114" t="e">
        <f t="shared" si="113"/>
        <v>#DIV/0!</v>
      </c>
      <c r="AB200" s="114"/>
      <c r="AC200" s="114" t="e">
        <f t="shared" si="113"/>
        <v>#DIV/0!</v>
      </c>
      <c r="AD200" s="114" t="e">
        <f t="shared" si="113"/>
        <v>#DIV/0!</v>
      </c>
      <c r="AE200" s="114" t="e">
        <f t="shared" si="113"/>
        <v>#DIV/0!</v>
      </c>
      <c r="AF200" s="114" t="e">
        <f t="shared" si="113"/>
        <v>#DIV/0!</v>
      </c>
      <c r="AG200" s="115">
        <f>AG199/AG128</f>
        <v>22.705461847389557</v>
      </c>
      <c r="AH200" s="15"/>
      <c r="AI200" s="15"/>
      <c r="AJ200" s="15"/>
      <c r="AK200" s="15"/>
      <c r="AL200" s="15"/>
    </row>
    <row r="201" spans="1:38" s="33" customFormat="1" ht="20.100000000000001" customHeight="1">
      <c r="A201" s="460"/>
      <c r="B201" s="416" t="s">
        <v>23</v>
      </c>
      <c r="C201" s="436"/>
      <c r="D201" s="113"/>
      <c r="E201" s="113"/>
      <c r="F201" s="113">
        <f>(F129-F41)</f>
        <v>0</v>
      </c>
      <c r="G201" s="113">
        <f t="shared" ref="G201:S201" si="114">G128-G51</f>
        <v>0</v>
      </c>
      <c r="H201" s="113">
        <f t="shared" si="114"/>
        <v>0</v>
      </c>
      <c r="I201" s="113">
        <f t="shared" si="114"/>
        <v>0</v>
      </c>
      <c r="J201" s="113">
        <f t="shared" si="114"/>
        <v>0</v>
      </c>
      <c r="K201" s="113">
        <f t="shared" si="114"/>
        <v>0</v>
      </c>
      <c r="L201" s="113">
        <f t="shared" si="114"/>
        <v>0</v>
      </c>
      <c r="M201" s="113">
        <f t="shared" si="114"/>
        <v>0</v>
      </c>
      <c r="N201" s="113">
        <f t="shared" si="114"/>
        <v>0</v>
      </c>
      <c r="O201" s="113">
        <f t="shared" si="114"/>
        <v>0</v>
      </c>
      <c r="P201" s="113">
        <f t="shared" si="114"/>
        <v>0</v>
      </c>
      <c r="Q201" s="113">
        <f t="shared" si="114"/>
        <v>0</v>
      </c>
      <c r="R201" s="113">
        <f t="shared" si="114"/>
        <v>0</v>
      </c>
      <c r="S201" s="113">
        <f t="shared" si="114"/>
        <v>0</v>
      </c>
      <c r="T201" s="113"/>
      <c r="U201" s="113"/>
      <c r="V201" s="113">
        <f t="shared" ref="V201:AF201" si="115">V128-V51</f>
        <v>4590</v>
      </c>
      <c r="W201" s="113">
        <f t="shared" si="115"/>
        <v>0</v>
      </c>
      <c r="X201" s="113">
        <f t="shared" si="115"/>
        <v>0</v>
      </c>
      <c r="Y201" s="113">
        <f t="shared" si="115"/>
        <v>0</v>
      </c>
      <c r="Z201" s="113">
        <f t="shared" si="115"/>
        <v>0</v>
      </c>
      <c r="AA201" s="113">
        <f t="shared" si="115"/>
        <v>0</v>
      </c>
      <c r="AB201" s="113"/>
      <c r="AC201" s="113">
        <f t="shared" si="115"/>
        <v>0</v>
      </c>
      <c r="AD201" s="113">
        <f t="shared" si="115"/>
        <v>0</v>
      </c>
      <c r="AE201" s="113">
        <f t="shared" si="115"/>
        <v>0</v>
      </c>
      <c r="AF201" s="113">
        <f t="shared" si="115"/>
        <v>0</v>
      </c>
      <c r="AG201" s="73">
        <f>SUM(D201:AC201)</f>
        <v>4590</v>
      </c>
      <c r="AH201" s="15"/>
      <c r="AI201" s="15"/>
      <c r="AJ201" s="15"/>
      <c r="AK201" s="15"/>
      <c r="AL201" s="15"/>
    </row>
    <row r="202" spans="1:38" s="33" customFormat="1" ht="20.100000000000001" customHeight="1">
      <c r="A202" s="460"/>
      <c r="B202" s="417"/>
      <c r="C202" s="437"/>
      <c r="D202" s="114"/>
      <c r="E202" s="114"/>
      <c r="F202" s="114" t="e">
        <f>F201/F129</f>
        <v>#DIV/0!</v>
      </c>
      <c r="G202" s="293" t="e">
        <f t="shared" ref="G202:S202" si="116">G201/G128</f>
        <v>#DIV/0!</v>
      </c>
      <c r="H202" s="293" t="e">
        <f t="shared" si="116"/>
        <v>#DIV/0!</v>
      </c>
      <c r="I202" s="293" t="e">
        <f t="shared" si="116"/>
        <v>#DIV/0!</v>
      </c>
      <c r="J202" s="293" t="e">
        <f t="shared" si="116"/>
        <v>#DIV/0!</v>
      </c>
      <c r="K202" s="293" t="e">
        <f t="shared" si="116"/>
        <v>#DIV/0!</v>
      </c>
      <c r="L202" s="293" t="e">
        <f t="shared" si="116"/>
        <v>#DIV/0!</v>
      </c>
      <c r="M202" s="293" t="e">
        <f t="shared" si="116"/>
        <v>#DIV/0!</v>
      </c>
      <c r="N202" s="293" t="e">
        <f t="shared" si="116"/>
        <v>#DIV/0!</v>
      </c>
      <c r="O202" s="293" t="e">
        <f t="shared" si="116"/>
        <v>#DIV/0!</v>
      </c>
      <c r="P202" s="114" t="e">
        <f t="shared" si="116"/>
        <v>#DIV/0!</v>
      </c>
      <c r="Q202" s="114" t="e">
        <f t="shared" si="116"/>
        <v>#DIV/0!</v>
      </c>
      <c r="R202" s="114" t="e">
        <f t="shared" si="116"/>
        <v>#DIV/0!</v>
      </c>
      <c r="S202" s="114" t="e">
        <f t="shared" si="116"/>
        <v>#DIV/0!</v>
      </c>
      <c r="T202" s="114"/>
      <c r="U202" s="114"/>
      <c r="V202" s="114">
        <f t="shared" ref="V202:AF202" si="117">V201/V128</f>
        <v>0.18433734939759036</v>
      </c>
      <c r="W202" s="114" t="e">
        <f t="shared" si="117"/>
        <v>#DIV/0!</v>
      </c>
      <c r="X202" s="114" t="e">
        <f t="shared" si="117"/>
        <v>#DIV/0!</v>
      </c>
      <c r="Y202" s="114" t="e">
        <f t="shared" si="117"/>
        <v>#DIV/0!</v>
      </c>
      <c r="Z202" s="114" t="e">
        <f t="shared" si="117"/>
        <v>#DIV/0!</v>
      </c>
      <c r="AA202" s="114" t="e">
        <f t="shared" si="117"/>
        <v>#DIV/0!</v>
      </c>
      <c r="AB202" s="114"/>
      <c r="AC202" s="114" t="e">
        <f t="shared" si="117"/>
        <v>#DIV/0!</v>
      </c>
      <c r="AD202" s="114" t="e">
        <f t="shared" si="117"/>
        <v>#DIV/0!</v>
      </c>
      <c r="AE202" s="114" t="e">
        <f t="shared" si="117"/>
        <v>#DIV/0!</v>
      </c>
      <c r="AF202" s="114" t="e">
        <f t="shared" si="117"/>
        <v>#DIV/0!</v>
      </c>
      <c r="AG202" s="115">
        <f>AG201/AG129</f>
        <v>2.3135547087642896E-2</v>
      </c>
      <c r="AH202" s="15"/>
      <c r="AI202" s="15"/>
      <c r="AJ202" s="15"/>
      <c r="AK202" s="15"/>
      <c r="AL202" s="15"/>
    </row>
    <row r="203" spans="1:38" s="33" customFormat="1" ht="20.100000000000001" customHeight="1">
      <c r="A203" s="460"/>
      <c r="B203" s="416" t="s">
        <v>107</v>
      </c>
      <c r="C203" s="116"/>
      <c r="D203" s="114"/>
      <c r="E203" s="114"/>
      <c r="F203" s="114"/>
      <c r="G203" s="293"/>
      <c r="H203" s="293"/>
      <c r="I203" s="293"/>
      <c r="J203" s="293"/>
      <c r="K203" s="293"/>
      <c r="L203" s="293"/>
      <c r="M203" s="293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5"/>
      <c r="AH203" s="15"/>
      <c r="AI203" s="15"/>
      <c r="AJ203" s="15"/>
      <c r="AK203" s="15"/>
      <c r="AL203" s="15"/>
    </row>
    <row r="204" spans="1:38" s="33" customFormat="1" ht="20.100000000000001" customHeight="1">
      <c r="A204" s="460"/>
      <c r="B204" s="417"/>
      <c r="C204" s="116"/>
      <c r="D204" s="114"/>
      <c r="E204" s="114"/>
      <c r="F204" s="114"/>
      <c r="G204" s="293"/>
      <c r="H204" s="293"/>
      <c r="I204" s="293"/>
      <c r="J204" s="293"/>
      <c r="K204" s="293"/>
      <c r="L204" s="293"/>
      <c r="M204" s="293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5"/>
      <c r="AH204" s="15"/>
      <c r="AI204" s="15"/>
      <c r="AJ204" s="15"/>
      <c r="AK204" s="15"/>
      <c r="AL204" s="15"/>
    </row>
    <row r="205" spans="1:38" s="33" customFormat="1" ht="20.100000000000001" customHeight="1">
      <c r="A205" s="460"/>
      <c r="B205" s="416" t="s">
        <v>55</v>
      </c>
      <c r="C205" s="434"/>
      <c r="D205" s="113"/>
      <c r="E205" s="113"/>
      <c r="F205" s="113">
        <f>F131-F59</f>
        <v>0</v>
      </c>
      <c r="G205" s="113">
        <f t="shared" ref="G205:S205" si="118">G130-G55</f>
        <v>0</v>
      </c>
      <c r="H205" s="113">
        <f t="shared" si="118"/>
        <v>0</v>
      </c>
      <c r="I205" s="113">
        <f t="shared" si="118"/>
        <v>68000</v>
      </c>
      <c r="J205" s="113">
        <f t="shared" si="118"/>
        <v>0</v>
      </c>
      <c r="K205" s="113">
        <f t="shared" si="118"/>
        <v>0</v>
      </c>
      <c r="L205" s="113">
        <f t="shared" si="118"/>
        <v>0</v>
      </c>
      <c r="M205" s="113">
        <f t="shared" si="118"/>
        <v>0</v>
      </c>
      <c r="N205" s="113">
        <f t="shared" si="118"/>
        <v>0</v>
      </c>
      <c r="O205" s="113">
        <f t="shared" si="118"/>
        <v>0</v>
      </c>
      <c r="P205" s="113">
        <f t="shared" si="118"/>
        <v>0</v>
      </c>
      <c r="Q205" s="113">
        <f t="shared" si="118"/>
        <v>0</v>
      </c>
      <c r="R205" s="113">
        <f t="shared" si="118"/>
        <v>0</v>
      </c>
      <c r="S205" s="113">
        <f t="shared" si="118"/>
        <v>0</v>
      </c>
      <c r="T205" s="113"/>
      <c r="U205" s="113"/>
      <c r="V205" s="113">
        <f t="shared" ref="V205:AF205" si="119">V130-V55</f>
        <v>0</v>
      </c>
      <c r="W205" s="113">
        <f t="shared" si="119"/>
        <v>0</v>
      </c>
      <c r="X205" s="113">
        <f t="shared" si="119"/>
        <v>0</v>
      </c>
      <c r="Y205" s="113">
        <f t="shared" si="119"/>
        <v>0</v>
      </c>
      <c r="Z205" s="113">
        <f t="shared" si="119"/>
        <v>0</v>
      </c>
      <c r="AA205" s="113">
        <f t="shared" si="119"/>
        <v>0</v>
      </c>
      <c r="AB205" s="113"/>
      <c r="AC205" s="113">
        <f t="shared" si="119"/>
        <v>0</v>
      </c>
      <c r="AD205" s="113">
        <f t="shared" si="119"/>
        <v>0</v>
      </c>
      <c r="AE205" s="113">
        <f t="shared" si="119"/>
        <v>0</v>
      </c>
      <c r="AF205" s="113">
        <f t="shared" si="119"/>
        <v>0</v>
      </c>
      <c r="AG205" s="292">
        <f>SUM(D205:Y205)</f>
        <v>68000</v>
      </c>
      <c r="AH205" s="15"/>
      <c r="AI205" s="15"/>
      <c r="AJ205" s="15"/>
      <c r="AK205" s="15"/>
      <c r="AL205" s="15"/>
    </row>
    <row r="206" spans="1:38" s="33" customFormat="1" ht="20.100000000000001" customHeight="1">
      <c r="A206" s="460"/>
      <c r="B206" s="417"/>
      <c r="C206" s="435"/>
      <c r="D206" s="114"/>
      <c r="E206" s="114"/>
      <c r="F206" s="114" t="e">
        <f>F205/F131</f>
        <v>#DIV/0!</v>
      </c>
      <c r="G206" s="293" t="e">
        <f t="shared" ref="G206:S206" si="120">G205/G130</f>
        <v>#DIV/0!</v>
      </c>
      <c r="H206" s="293" t="e">
        <f t="shared" si="120"/>
        <v>#DIV/0!</v>
      </c>
      <c r="I206" s="293">
        <f t="shared" si="120"/>
        <v>0.15044247787610621</v>
      </c>
      <c r="J206" s="293" t="e">
        <f t="shared" si="120"/>
        <v>#DIV/0!</v>
      </c>
      <c r="K206" s="293" t="e">
        <f t="shared" si="120"/>
        <v>#DIV/0!</v>
      </c>
      <c r="L206" s="293" t="e">
        <f t="shared" si="120"/>
        <v>#DIV/0!</v>
      </c>
      <c r="M206" s="293" t="e">
        <f t="shared" si="120"/>
        <v>#DIV/0!</v>
      </c>
      <c r="N206" s="293" t="e">
        <f t="shared" si="120"/>
        <v>#DIV/0!</v>
      </c>
      <c r="O206" s="293" t="e">
        <f t="shared" si="120"/>
        <v>#DIV/0!</v>
      </c>
      <c r="P206" s="293" t="e">
        <f t="shared" si="120"/>
        <v>#DIV/0!</v>
      </c>
      <c r="Q206" s="293" t="e">
        <f t="shared" si="120"/>
        <v>#DIV/0!</v>
      </c>
      <c r="R206" s="293" t="e">
        <f t="shared" si="120"/>
        <v>#DIV/0!</v>
      </c>
      <c r="S206" s="293" t="e">
        <f t="shared" si="120"/>
        <v>#DIV/0!</v>
      </c>
      <c r="T206" s="293"/>
      <c r="U206" s="293"/>
      <c r="V206" s="293" t="e">
        <f t="shared" ref="V206:AF206" si="121">V205/V130</f>
        <v>#DIV/0!</v>
      </c>
      <c r="W206" s="293" t="e">
        <f t="shared" si="121"/>
        <v>#DIV/0!</v>
      </c>
      <c r="X206" s="293" t="e">
        <f t="shared" si="121"/>
        <v>#DIV/0!</v>
      </c>
      <c r="Y206" s="293" t="e">
        <f t="shared" si="121"/>
        <v>#DIV/0!</v>
      </c>
      <c r="Z206" s="293" t="e">
        <f t="shared" si="121"/>
        <v>#DIV/0!</v>
      </c>
      <c r="AA206" s="293" t="e">
        <f t="shared" si="121"/>
        <v>#DIV/0!</v>
      </c>
      <c r="AB206" s="293"/>
      <c r="AC206" s="293" t="e">
        <f t="shared" si="121"/>
        <v>#DIV/0!</v>
      </c>
      <c r="AD206" s="293" t="e">
        <f t="shared" si="121"/>
        <v>#DIV/0!</v>
      </c>
      <c r="AE206" s="293" t="e">
        <f t="shared" si="121"/>
        <v>#DIV/0!</v>
      </c>
      <c r="AF206" s="293" t="e">
        <f t="shared" si="121"/>
        <v>#DIV/0!</v>
      </c>
      <c r="AG206" s="115">
        <f>AG205/AG133</f>
        <v>1.2811817017107543</v>
      </c>
      <c r="AH206" s="15"/>
      <c r="AI206" s="15"/>
      <c r="AJ206" s="15"/>
      <c r="AK206" s="15"/>
      <c r="AL206" s="15"/>
    </row>
    <row r="207" spans="1:38" s="33" customFormat="1" ht="20.100000000000001" customHeight="1">
      <c r="A207" s="460"/>
      <c r="B207" s="416" t="s">
        <v>34</v>
      </c>
      <c r="C207" s="434"/>
      <c r="D207" s="113"/>
      <c r="E207" s="113"/>
      <c r="F207" s="113">
        <f>F132-F61</f>
        <v>0</v>
      </c>
      <c r="G207" s="113">
        <f t="shared" ref="G207:S207" si="122">G131-G57</f>
        <v>0</v>
      </c>
      <c r="H207" s="113">
        <f t="shared" si="122"/>
        <v>0</v>
      </c>
      <c r="I207" s="113">
        <f t="shared" si="122"/>
        <v>3168</v>
      </c>
      <c r="J207" s="113">
        <f t="shared" si="122"/>
        <v>0</v>
      </c>
      <c r="K207" s="113">
        <f t="shared" si="122"/>
        <v>0</v>
      </c>
      <c r="L207" s="113">
        <f t="shared" si="122"/>
        <v>0</v>
      </c>
      <c r="M207" s="113">
        <f t="shared" si="122"/>
        <v>0</v>
      </c>
      <c r="N207" s="113">
        <f t="shared" si="122"/>
        <v>0</v>
      </c>
      <c r="O207" s="113">
        <f t="shared" si="122"/>
        <v>0</v>
      </c>
      <c r="P207" s="113">
        <f t="shared" si="122"/>
        <v>0</v>
      </c>
      <c r="Q207" s="113">
        <f t="shared" si="122"/>
        <v>1580</v>
      </c>
      <c r="R207" s="113">
        <f t="shared" si="122"/>
        <v>12672</v>
      </c>
      <c r="S207" s="113">
        <f t="shared" si="122"/>
        <v>0</v>
      </c>
      <c r="T207" s="113"/>
      <c r="U207" s="113"/>
      <c r="V207" s="113">
        <f t="shared" ref="V207:AF207" si="123">V131-V57</f>
        <v>15840</v>
      </c>
      <c r="W207" s="113">
        <f t="shared" si="123"/>
        <v>0</v>
      </c>
      <c r="X207" s="113">
        <f t="shared" si="123"/>
        <v>0</v>
      </c>
      <c r="Y207" s="113">
        <f t="shared" si="123"/>
        <v>0</v>
      </c>
      <c r="Z207" s="113">
        <f t="shared" si="123"/>
        <v>0</v>
      </c>
      <c r="AA207" s="113">
        <f t="shared" si="123"/>
        <v>0</v>
      </c>
      <c r="AB207" s="113"/>
      <c r="AC207" s="113">
        <f t="shared" si="123"/>
        <v>0</v>
      </c>
      <c r="AD207" s="113">
        <f t="shared" si="123"/>
        <v>0</v>
      </c>
      <c r="AE207" s="113">
        <f t="shared" si="123"/>
        <v>0</v>
      </c>
      <c r="AF207" s="113">
        <f t="shared" si="123"/>
        <v>0</v>
      </c>
      <c r="AG207" s="292">
        <f>SUM(D207:Y207)</f>
        <v>33260</v>
      </c>
      <c r="AH207" s="15"/>
      <c r="AI207" s="15"/>
      <c r="AJ207" s="15"/>
      <c r="AK207" s="15"/>
      <c r="AL207" s="15"/>
    </row>
    <row r="208" spans="1:38" s="33" customFormat="1" ht="20.100000000000001" customHeight="1">
      <c r="A208" s="460"/>
      <c r="B208" s="417"/>
      <c r="C208" s="435"/>
      <c r="D208" s="114"/>
      <c r="E208" s="114"/>
      <c r="F208" s="114" t="e">
        <f>F207/F132</f>
        <v>#DIV/0!</v>
      </c>
      <c r="G208" s="114" t="e">
        <f t="shared" ref="G208:S208" si="124">G207/G131</f>
        <v>#DIV/0!</v>
      </c>
      <c r="H208" s="114" t="e">
        <f t="shared" si="124"/>
        <v>#DIV/0!</v>
      </c>
      <c r="I208" s="114">
        <f t="shared" si="124"/>
        <v>0.18032786885245902</v>
      </c>
      <c r="J208" s="114" t="e">
        <f t="shared" si="124"/>
        <v>#DIV/0!</v>
      </c>
      <c r="K208" s="114" t="e">
        <f t="shared" si="124"/>
        <v>#DIV/0!</v>
      </c>
      <c r="L208" s="114" t="e">
        <f t="shared" si="124"/>
        <v>#DIV/0!</v>
      </c>
      <c r="M208" s="114" t="e">
        <f t="shared" si="124"/>
        <v>#DIV/0!</v>
      </c>
      <c r="N208" s="114" t="e">
        <f t="shared" si="124"/>
        <v>#DIV/0!</v>
      </c>
      <c r="O208" s="114" t="e">
        <f t="shared" si="124"/>
        <v>#DIV/0!</v>
      </c>
      <c r="P208" s="114" t="e">
        <f t="shared" si="124"/>
        <v>#DIV/0!</v>
      </c>
      <c r="Q208" s="114">
        <f t="shared" si="124"/>
        <v>0.17995444191343962</v>
      </c>
      <c r="R208" s="114">
        <f t="shared" si="124"/>
        <v>0.18032786885245902</v>
      </c>
      <c r="S208" s="114" t="e">
        <f t="shared" si="124"/>
        <v>#DIV/0!</v>
      </c>
      <c r="T208" s="114"/>
      <c r="U208" s="114"/>
      <c r="V208" s="114">
        <f t="shared" ref="V208:AF208" si="125">V207/V131</f>
        <v>0.18032786885245902</v>
      </c>
      <c r="W208" s="114" t="e">
        <f t="shared" si="125"/>
        <v>#DIV/0!</v>
      </c>
      <c r="X208" s="114" t="e">
        <f t="shared" si="125"/>
        <v>#DIV/0!</v>
      </c>
      <c r="Y208" s="114" t="e">
        <f t="shared" si="125"/>
        <v>#DIV/0!</v>
      </c>
      <c r="Z208" s="114" t="e">
        <f t="shared" si="125"/>
        <v>#DIV/0!</v>
      </c>
      <c r="AA208" s="114" t="e">
        <f t="shared" si="125"/>
        <v>#DIV/0!</v>
      </c>
      <c r="AB208" s="114"/>
      <c r="AC208" s="114" t="e">
        <f t="shared" si="125"/>
        <v>#DIV/0!</v>
      </c>
      <c r="AD208" s="114" t="e">
        <f t="shared" si="125"/>
        <v>#DIV/0!</v>
      </c>
      <c r="AE208" s="114" t="e">
        <f t="shared" si="125"/>
        <v>#DIV/0!</v>
      </c>
      <c r="AF208" s="114" t="e">
        <f t="shared" si="125"/>
        <v>#DIV/0!</v>
      </c>
      <c r="AG208" s="115">
        <f>AG207/AG138</f>
        <v>9.133247657648752E-2</v>
      </c>
      <c r="AH208" s="15"/>
      <c r="AI208" s="15"/>
      <c r="AJ208" s="15"/>
      <c r="AK208" s="15"/>
      <c r="AL208" s="15"/>
    </row>
    <row r="209" spans="1:38" s="33" customFormat="1" ht="20.100000000000001" customHeight="1">
      <c r="A209" s="460"/>
      <c r="B209" s="416" t="s">
        <v>35</v>
      </c>
      <c r="C209" s="434"/>
      <c r="D209" s="113">
        <f>D132-D59</f>
        <v>68748</v>
      </c>
      <c r="E209" s="113">
        <f>E132-E59</f>
        <v>0</v>
      </c>
      <c r="F209" s="113">
        <f>F133-F63</f>
        <v>0</v>
      </c>
      <c r="G209" s="113">
        <f t="shared" ref="G209:S209" si="126">G132-G59</f>
        <v>0</v>
      </c>
      <c r="H209" s="113">
        <f t="shared" si="126"/>
        <v>0</v>
      </c>
      <c r="I209" s="113">
        <f t="shared" si="126"/>
        <v>0</v>
      </c>
      <c r="J209" s="113">
        <f t="shared" si="126"/>
        <v>0</v>
      </c>
      <c r="K209" s="113">
        <f t="shared" si="126"/>
        <v>0</v>
      </c>
      <c r="L209" s="113">
        <f t="shared" si="126"/>
        <v>0</v>
      </c>
      <c r="M209" s="113">
        <f t="shared" si="126"/>
        <v>0</v>
      </c>
      <c r="N209" s="113">
        <f t="shared" si="126"/>
        <v>0</v>
      </c>
      <c r="O209" s="113">
        <f t="shared" si="126"/>
        <v>0</v>
      </c>
      <c r="P209" s="113">
        <f t="shared" si="126"/>
        <v>1007</v>
      </c>
      <c r="Q209" s="113">
        <f t="shared" si="126"/>
        <v>0</v>
      </c>
      <c r="R209" s="113">
        <f t="shared" si="126"/>
        <v>0</v>
      </c>
      <c r="S209" s="113">
        <f t="shared" si="126"/>
        <v>0</v>
      </c>
      <c r="T209" s="113"/>
      <c r="U209" s="113"/>
      <c r="V209" s="113">
        <f t="shared" ref="V209:AF209" si="127">V132-V59</f>
        <v>67300</v>
      </c>
      <c r="W209" s="113">
        <f t="shared" si="127"/>
        <v>0</v>
      </c>
      <c r="X209" s="113">
        <f t="shared" si="127"/>
        <v>0</v>
      </c>
      <c r="Y209" s="113">
        <f t="shared" si="127"/>
        <v>0</v>
      </c>
      <c r="Z209" s="113">
        <f t="shared" si="127"/>
        <v>0</v>
      </c>
      <c r="AA209" s="113">
        <f t="shared" si="127"/>
        <v>0</v>
      </c>
      <c r="AB209" s="113"/>
      <c r="AC209" s="113">
        <f t="shared" si="127"/>
        <v>52500</v>
      </c>
      <c r="AD209" s="113">
        <f t="shared" si="127"/>
        <v>0</v>
      </c>
      <c r="AE209" s="113">
        <f t="shared" si="127"/>
        <v>0</v>
      </c>
      <c r="AF209" s="113">
        <f t="shared" si="127"/>
        <v>0</v>
      </c>
      <c r="AG209" s="292">
        <f>SUM(D209:Y209)</f>
        <v>137055</v>
      </c>
      <c r="AH209" s="15"/>
      <c r="AI209" s="15"/>
      <c r="AJ209" s="15"/>
      <c r="AK209" s="15"/>
      <c r="AL209" s="15"/>
    </row>
    <row r="210" spans="1:38" s="33" customFormat="1" ht="20.100000000000001" customHeight="1">
      <c r="A210" s="460"/>
      <c r="B210" s="417"/>
      <c r="C210" s="435"/>
      <c r="D210" s="114">
        <f>D209/D132</f>
        <v>0.19993718154533399</v>
      </c>
      <c r="E210" s="114" t="e">
        <f>E209/E132</f>
        <v>#DIV/0!</v>
      </c>
      <c r="F210" s="114" t="e">
        <f>F209/F133</f>
        <v>#DIV/0!</v>
      </c>
      <c r="G210" s="114" t="e">
        <f t="shared" ref="G210:S210" si="128">G209/G132</f>
        <v>#DIV/0!</v>
      </c>
      <c r="H210" s="114" t="e">
        <f t="shared" si="128"/>
        <v>#DIV/0!</v>
      </c>
      <c r="I210" s="114" t="e">
        <f t="shared" si="128"/>
        <v>#DIV/0!</v>
      </c>
      <c r="J210" s="114" t="e">
        <f t="shared" si="128"/>
        <v>#DIV/0!</v>
      </c>
      <c r="K210" s="114" t="e">
        <f t="shared" si="128"/>
        <v>#DIV/0!</v>
      </c>
      <c r="L210" s="114" t="e">
        <f t="shared" si="128"/>
        <v>#DIV/0!</v>
      </c>
      <c r="M210" s="114" t="e">
        <f t="shared" si="128"/>
        <v>#DIV/0!</v>
      </c>
      <c r="N210" s="114" t="e">
        <f t="shared" si="128"/>
        <v>#DIV/0!</v>
      </c>
      <c r="O210" s="114" t="e">
        <f t="shared" si="128"/>
        <v>#DIV/0!</v>
      </c>
      <c r="P210" s="114">
        <f t="shared" si="128"/>
        <v>8.8473027587418734E-2</v>
      </c>
      <c r="Q210" s="114" t="e">
        <f t="shared" si="128"/>
        <v>#DIV/0!</v>
      </c>
      <c r="R210" s="114" t="e">
        <f t="shared" si="128"/>
        <v>#DIV/0!</v>
      </c>
      <c r="S210" s="114" t="e">
        <f t="shared" si="128"/>
        <v>#DIV/0!</v>
      </c>
      <c r="T210" s="114"/>
      <c r="U210" s="114"/>
      <c r="V210" s="114">
        <f t="shared" ref="V210:AG210" si="129">V209/V132</f>
        <v>0.18627179629117077</v>
      </c>
      <c r="W210" s="114" t="e">
        <f t="shared" si="129"/>
        <v>#DIV/0!</v>
      </c>
      <c r="X210" s="114" t="e">
        <f t="shared" si="129"/>
        <v>#DIV/0!</v>
      </c>
      <c r="Y210" s="114" t="e">
        <f t="shared" si="129"/>
        <v>#DIV/0!</v>
      </c>
      <c r="Z210" s="114" t="e">
        <f t="shared" si="129"/>
        <v>#DIV/0!</v>
      </c>
      <c r="AA210" s="114" t="e">
        <f t="shared" si="129"/>
        <v>#DIV/0!</v>
      </c>
      <c r="AB210" s="114"/>
      <c r="AC210" s="114">
        <f t="shared" si="129"/>
        <v>0.2</v>
      </c>
      <c r="AD210" s="114" t="e">
        <f t="shared" si="129"/>
        <v>#DIV/0!</v>
      </c>
      <c r="AE210" s="114" t="e">
        <f t="shared" si="129"/>
        <v>#DIV/0!</v>
      </c>
      <c r="AF210" s="114" t="e">
        <f t="shared" si="129"/>
        <v>#DIV/0!</v>
      </c>
      <c r="AG210" s="115">
        <f t="shared" si="129"/>
        <v>6.8678145512180974E-2</v>
      </c>
      <c r="AH210" s="15"/>
      <c r="AI210" s="15"/>
      <c r="AJ210" s="15"/>
      <c r="AK210" s="15"/>
      <c r="AL210" s="15"/>
    </row>
    <row r="211" spans="1:38" s="33" customFormat="1" ht="20.100000000000001" customHeight="1">
      <c r="A211" s="460"/>
      <c r="B211" s="416" t="s">
        <v>36</v>
      </c>
      <c r="C211" s="434"/>
      <c r="D211" s="113"/>
      <c r="E211" s="113"/>
      <c r="F211" s="113">
        <f>F135-F67</f>
        <v>0</v>
      </c>
      <c r="G211" s="113">
        <f t="shared" ref="G211:M211" si="130">G135-G65</f>
        <v>0</v>
      </c>
      <c r="H211" s="113">
        <f t="shared" si="130"/>
        <v>0</v>
      </c>
      <c r="I211" s="113">
        <f t="shared" si="130"/>
        <v>0</v>
      </c>
      <c r="J211" s="113">
        <f t="shared" si="130"/>
        <v>0</v>
      </c>
      <c r="K211" s="113">
        <f t="shared" si="130"/>
        <v>0</v>
      </c>
      <c r="L211" s="113">
        <f t="shared" si="130"/>
        <v>0</v>
      </c>
      <c r="M211" s="113">
        <f t="shared" si="130"/>
        <v>0</v>
      </c>
      <c r="N211" s="113"/>
      <c r="O211" s="113">
        <f>O135-O67</f>
        <v>0</v>
      </c>
      <c r="P211" s="113">
        <f>P135-P67</f>
        <v>0</v>
      </c>
      <c r="Q211" s="113">
        <f>Q135-Q67</f>
        <v>0</v>
      </c>
      <c r="R211" s="113">
        <f>R135-R67</f>
        <v>-218220</v>
      </c>
      <c r="S211" s="113">
        <f>S135-S67</f>
        <v>0</v>
      </c>
      <c r="T211" s="113"/>
      <c r="U211" s="113"/>
      <c r="V211" s="113">
        <f t="shared" ref="V211:AF211" si="131">V135-V67</f>
        <v>0</v>
      </c>
      <c r="W211" s="113">
        <f t="shared" si="131"/>
        <v>0</v>
      </c>
      <c r="X211" s="113">
        <f t="shared" si="131"/>
        <v>0</v>
      </c>
      <c r="Y211" s="113">
        <f t="shared" si="131"/>
        <v>0</v>
      </c>
      <c r="Z211" s="113">
        <f t="shared" si="131"/>
        <v>0</v>
      </c>
      <c r="AA211" s="113">
        <f t="shared" si="131"/>
        <v>0</v>
      </c>
      <c r="AB211" s="113"/>
      <c r="AC211" s="113">
        <f t="shared" si="131"/>
        <v>0</v>
      </c>
      <c r="AD211" s="113">
        <f t="shared" si="131"/>
        <v>0</v>
      </c>
      <c r="AE211" s="113">
        <f t="shared" si="131"/>
        <v>0</v>
      </c>
      <c r="AF211" s="113">
        <f t="shared" si="131"/>
        <v>0</v>
      </c>
      <c r="AG211" s="292">
        <f>SUM(D211:Y211)</f>
        <v>-218220</v>
      </c>
      <c r="AH211" s="15"/>
      <c r="AI211" s="15"/>
      <c r="AJ211" s="15"/>
      <c r="AK211" s="15"/>
      <c r="AL211" s="15"/>
    </row>
    <row r="212" spans="1:38" s="33" customFormat="1" ht="20.100000000000001" customHeight="1">
      <c r="A212" s="460"/>
      <c r="B212" s="417"/>
      <c r="C212" s="435"/>
      <c r="D212" s="114"/>
      <c r="E212" s="114"/>
      <c r="F212" s="114" t="e">
        <f t="shared" ref="F212:M212" si="132">F211/F135</f>
        <v>#DIV/0!</v>
      </c>
      <c r="G212" s="293" t="e">
        <f t="shared" si="132"/>
        <v>#DIV/0!</v>
      </c>
      <c r="H212" s="293" t="e">
        <f t="shared" si="132"/>
        <v>#DIV/0!</v>
      </c>
      <c r="I212" s="293" t="e">
        <f t="shared" si="132"/>
        <v>#DIV/0!</v>
      </c>
      <c r="J212" s="293" t="e">
        <f t="shared" si="132"/>
        <v>#DIV/0!</v>
      </c>
      <c r="K212" s="293" t="e">
        <f t="shared" si="132"/>
        <v>#DIV/0!</v>
      </c>
      <c r="L212" s="293" t="e">
        <f t="shared" si="132"/>
        <v>#DIV/0!</v>
      </c>
      <c r="M212" s="293" t="e">
        <f t="shared" si="132"/>
        <v>#DIV/0!</v>
      </c>
      <c r="N212" s="114"/>
      <c r="O212" s="114" t="e">
        <f>O211/O135</f>
        <v>#DIV/0!</v>
      </c>
      <c r="P212" s="114" t="e">
        <f>P211/P135</f>
        <v>#DIV/0!</v>
      </c>
      <c r="Q212" s="114" t="e">
        <f>Q211/Q135</f>
        <v>#DIV/0!</v>
      </c>
      <c r="R212" s="114">
        <f>R211/R135</f>
        <v>-6.1959114139693359</v>
      </c>
      <c r="S212" s="114" t="e">
        <f>S211/S135</f>
        <v>#DIV/0!</v>
      </c>
      <c r="T212" s="114"/>
      <c r="U212" s="114"/>
      <c r="V212" s="114" t="e">
        <f t="shared" ref="V212:AF212" si="133">V211/V135</f>
        <v>#DIV/0!</v>
      </c>
      <c r="W212" s="114" t="e">
        <f t="shared" si="133"/>
        <v>#DIV/0!</v>
      </c>
      <c r="X212" s="114" t="e">
        <f t="shared" si="133"/>
        <v>#DIV/0!</v>
      </c>
      <c r="Y212" s="114" t="e">
        <f t="shared" si="133"/>
        <v>#DIV/0!</v>
      </c>
      <c r="Z212" s="114" t="e">
        <f t="shared" si="133"/>
        <v>#DIV/0!</v>
      </c>
      <c r="AA212" s="114" t="e">
        <f t="shared" si="133"/>
        <v>#DIV/0!</v>
      </c>
      <c r="AB212" s="114"/>
      <c r="AC212" s="114" t="e">
        <f t="shared" si="133"/>
        <v>#DIV/0!</v>
      </c>
      <c r="AD212" s="114" t="e">
        <f t="shared" si="133"/>
        <v>#DIV/0!</v>
      </c>
      <c r="AE212" s="114" t="e">
        <f t="shared" si="133"/>
        <v>#DIV/0!</v>
      </c>
      <c r="AF212" s="114" t="e">
        <f t="shared" si="133"/>
        <v>#DIV/0!</v>
      </c>
      <c r="AG212" s="115">
        <f>AG211/AG136</f>
        <v>-0.38994317572638576</v>
      </c>
      <c r="AH212" s="15"/>
      <c r="AI212" s="15"/>
      <c r="AJ212" s="15"/>
      <c r="AK212" s="15"/>
      <c r="AL212" s="15"/>
    </row>
    <row r="213" spans="1:38" s="33" customFormat="1" ht="20.100000000000001" customHeight="1">
      <c r="A213" s="460"/>
      <c r="B213" s="416" t="s">
        <v>129</v>
      </c>
      <c r="C213" s="434"/>
      <c r="D213" s="114"/>
      <c r="E213" s="114"/>
      <c r="F213" s="114"/>
      <c r="G213" s="113">
        <f t="shared" ref="G213:S213" si="134">G136-G67</f>
        <v>0</v>
      </c>
      <c r="H213" s="113">
        <f t="shared" si="134"/>
        <v>0</v>
      </c>
      <c r="I213" s="113">
        <f t="shared" si="134"/>
        <v>0</v>
      </c>
      <c r="J213" s="113">
        <f t="shared" si="134"/>
        <v>0</v>
      </c>
      <c r="K213" s="113">
        <f t="shared" si="134"/>
        <v>0</v>
      </c>
      <c r="L213" s="113">
        <f t="shared" si="134"/>
        <v>0</v>
      </c>
      <c r="M213" s="113">
        <f t="shared" si="134"/>
        <v>0</v>
      </c>
      <c r="N213" s="113">
        <f t="shared" si="134"/>
        <v>0</v>
      </c>
      <c r="O213" s="113">
        <f t="shared" si="134"/>
        <v>0</v>
      </c>
      <c r="P213" s="113">
        <f t="shared" si="134"/>
        <v>0</v>
      </c>
      <c r="Q213" s="113">
        <f t="shared" si="134"/>
        <v>0</v>
      </c>
      <c r="R213" s="113">
        <f t="shared" si="134"/>
        <v>44880</v>
      </c>
      <c r="S213" s="113">
        <f t="shared" si="134"/>
        <v>0</v>
      </c>
      <c r="T213" s="113"/>
      <c r="U213" s="113"/>
      <c r="V213" s="113">
        <f t="shared" ref="V213:AF213" si="135">V136-V67</f>
        <v>0</v>
      </c>
      <c r="W213" s="113">
        <f t="shared" si="135"/>
        <v>0</v>
      </c>
      <c r="X213" s="113">
        <f t="shared" si="135"/>
        <v>0</v>
      </c>
      <c r="Y213" s="113">
        <f t="shared" si="135"/>
        <v>0</v>
      </c>
      <c r="Z213" s="113">
        <f t="shared" si="135"/>
        <v>0</v>
      </c>
      <c r="AA213" s="113">
        <f t="shared" si="135"/>
        <v>0</v>
      </c>
      <c r="AB213" s="113"/>
      <c r="AC213" s="113">
        <f t="shared" si="135"/>
        <v>0</v>
      </c>
      <c r="AD213" s="113">
        <f t="shared" si="135"/>
        <v>0</v>
      </c>
      <c r="AE213" s="113">
        <f t="shared" si="135"/>
        <v>0</v>
      </c>
      <c r="AF213" s="113">
        <f t="shared" si="135"/>
        <v>0</v>
      </c>
      <c r="AG213" s="115"/>
      <c r="AH213" s="15"/>
      <c r="AI213" s="15"/>
      <c r="AJ213" s="15"/>
      <c r="AK213" s="15"/>
      <c r="AL213" s="15"/>
    </row>
    <row r="214" spans="1:38" s="33" customFormat="1" ht="20.100000000000001" customHeight="1">
      <c r="A214" s="460"/>
      <c r="B214" s="417"/>
      <c r="C214" s="435"/>
      <c r="D214" s="114"/>
      <c r="E214" s="114"/>
      <c r="F214" s="114"/>
      <c r="G214" s="293" t="e">
        <f t="shared" ref="G214:S214" si="136">G213/G136</f>
        <v>#DIV/0!</v>
      </c>
      <c r="H214" s="293" t="e">
        <f t="shared" si="136"/>
        <v>#DIV/0!</v>
      </c>
      <c r="I214" s="293" t="e">
        <f t="shared" si="136"/>
        <v>#DIV/0!</v>
      </c>
      <c r="J214" s="293" t="e">
        <f t="shared" si="136"/>
        <v>#DIV/0!</v>
      </c>
      <c r="K214" s="293" t="e">
        <f t="shared" si="136"/>
        <v>#DIV/0!</v>
      </c>
      <c r="L214" s="293" t="e">
        <f t="shared" si="136"/>
        <v>#DIV/0!</v>
      </c>
      <c r="M214" s="114" t="e">
        <f t="shared" si="136"/>
        <v>#DIV/0!</v>
      </c>
      <c r="N214" s="114" t="e">
        <f t="shared" si="136"/>
        <v>#DIV/0!</v>
      </c>
      <c r="O214" s="114" t="e">
        <f t="shared" si="136"/>
        <v>#DIV/0!</v>
      </c>
      <c r="P214" s="114" t="e">
        <f t="shared" si="136"/>
        <v>#DIV/0!</v>
      </c>
      <c r="Q214" s="114" t="e">
        <f t="shared" si="136"/>
        <v>#DIV/0!</v>
      </c>
      <c r="R214" s="114">
        <f t="shared" si="136"/>
        <v>0.15044247787610621</v>
      </c>
      <c r="S214" s="114" t="e">
        <f t="shared" si="136"/>
        <v>#DIV/0!</v>
      </c>
      <c r="T214" s="114"/>
      <c r="U214" s="114"/>
      <c r="V214" s="114" t="e">
        <f t="shared" ref="V214:AF214" si="137">V213/V136</f>
        <v>#DIV/0!</v>
      </c>
      <c r="W214" s="114" t="e">
        <f t="shared" si="137"/>
        <v>#DIV/0!</v>
      </c>
      <c r="X214" s="114" t="e">
        <f t="shared" si="137"/>
        <v>#DIV/0!</v>
      </c>
      <c r="Y214" s="114" t="e">
        <f t="shared" si="137"/>
        <v>#DIV/0!</v>
      </c>
      <c r="Z214" s="114" t="e">
        <f t="shared" si="137"/>
        <v>#DIV/0!</v>
      </c>
      <c r="AA214" s="114" t="e">
        <f t="shared" si="137"/>
        <v>#DIV/0!</v>
      </c>
      <c r="AB214" s="114"/>
      <c r="AC214" s="114" t="e">
        <f t="shared" si="137"/>
        <v>#DIV/0!</v>
      </c>
      <c r="AD214" s="114" t="e">
        <f t="shared" si="137"/>
        <v>#DIV/0!</v>
      </c>
      <c r="AE214" s="114" t="e">
        <f t="shared" si="137"/>
        <v>#DIV/0!</v>
      </c>
      <c r="AF214" s="114" t="e">
        <f t="shared" si="137"/>
        <v>#DIV/0!</v>
      </c>
      <c r="AG214" s="115"/>
      <c r="AH214" s="15"/>
      <c r="AI214" s="15"/>
      <c r="AJ214" s="15"/>
      <c r="AK214" s="15"/>
      <c r="AL214" s="15"/>
    </row>
    <row r="215" spans="1:38" s="33" customFormat="1" ht="20.100000000000001" customHeight="1">
      <c r="A215" s="460"/>
      <c r="B215" s="416" t="s">
        <v>130</v>
      </c>
      <c r="C215" s="434"/>
      <c r="D215" s="114"/>
      <c r="E215" s="114"/>
      <c r="F215" s="113">
        <f t="shared" ref="F215:S215" si="138">F137-F69</f>
        <v>0</v>
      </c>
      <c r="G215" s="113">
        <f t="shared" si="138"/>
        <v>0</v>
      </c>
      <c r="H215" s="113">
        <f t="shared" si="138"/>
        <v>0</v>
      </c>
      <c r="I215" s="113">
        <f t="shared" si="138"/>
        <v>31320</v>
      </c>
      <c r="J215" s="113">
        <f t="shared" si="138"/>
        <v>0</v>
      </c>
      <c r="K215" s="113">
        <f t="shared" si="138"/>
        <v>0</v>
      </c>
      <c r="L215" s="113">
        <f t="shared" si="138"/>
        <v>0</v>
      </c>
      <c r="M215" s="113">
        <f t="shared" si="138"/>
        <v>0</v>
      </c>
      <c r="N215" s="113">
        <f t="shared" si="138"/>
        <v>0</v>
      </c>
      <c r="O215" s="113">
        <f t="shared" si="138"/>
        <v>0</v>
      </c>
      <c r="P215" s="113">
        <f t="shared" si="138"/>
        <v>0</v>
      </c>
      <c r="Q215" s="113">
        <f t="shared" si="138"/>
        <v>0</v>
      </c>
      <c r="R215" s="113">
        <f t="shared" si="138"/>
        <v>14208</v>
      </c>
      <c r="S215" s="113">
        <f t="shared" si="138"/>
        <v>0</v>
      </c>
      <c r="T215" s="113"/>
      <c r="U215" s="113"/>
      <c r="V215" s="113">
        <f t="shared" ref="V215:AF215" si="139">V137-V69</f>
        <v>7280</v>
      </c>
      <c r="W215" s="113">
        <f t="shared" si="139"/>
        <v>0</v>
      </c>
      <c r="X215" s="113">
        <f t="shared" si="139"/>
        <v>0</v>
      </c>
      <c r="Y215" s="113">
        <f t="shared" si="139"/>
        <v>0</v>
      </c>
      <c r="Z215" s="113">
        <f t="shared" si="139"/>
        <v>0</v>
      </c>
      <c r="AA215" s="113">
        <f t="shared" si="139"/>
        <v>0</v>
      </c>
      <c r="AB215" s="113"/>
      <c r="AC215" s="113">
        <f t="shared" si="139"/>
        <v>3740</v>
      </c>
      <c r="AD215" s="113">
        <f t="shared" si="139"/>
        <v>0</v>
      </c>
      <c r="AE215" s="113">
        <f t="shared" si="139"/>
        <v>0</v>
      </c>
      <c r="AF215" s="113">
        <f t="shared" si="139"/>
        <v>0</v>
      </c>
      <c r="AG215" s="115"/>
      <c r="AH215" s="15"/>
      <c r="AI215" s="15"/>
      <c r="AJ215" s="15"/>
      <c r="AK215" s="15"/>
      <c r="AL215" s="15"/>
    </row>
    <row r="216" spans="1:38" s="33" customFormat="1" ht="20.100000000000001" customHeight="1">
      <c r="A216" s="460"/>
      <c r="B216" s="417"/>
      <c r="C216" s="435"/>
      <c r="D216" s="114"/>
      <c r="E216" s="114"/>
      <c r="F216" s="114" t="e">
        <f t="shared" ref="F216:S216" si="140">F215/F137</f>
        <v>#DIV/0!</v>
      </c>
      <c r="G216" s="114" t="e">
        <f t="shared" si="140"/>
        <v>#DIV/0!</v>
      </c>
      <c r="H216" s="114" t="e">
        <f t="shared" si="140"/>
        <v>#DIV/0!</v>
      </c>
      <c r="I216" s="114">
        <f t="shared" si="140"/>
        <v>0.15021582733812949</v>
      </c>
      <c r="J216" s="114" t="e">
        <f t="shared" si="140"/>
        <v>#DIV/0!</v>
      </c>
      <c r="K216" s="114" t="e">
        <f t="shared" si="140"/>
        <v>#DIV/0!</v>
      </c>
      <c r="L216" s="114" t="e">
        <f t="shared" si="140"/>
        <v>#DIV/0!</v>
      </c>
      <c r="M216" s="114" t="e">
        <f t="shared" si="140"/>
        <v>#DIV/0!</v>
      </c>
      <c r="N216" s="114" t="e">
        <f t="shared" si="140"/>
        <v>#DIV/0!</v>
      </c>
      <c r="O216" s="114" t="e">
        <f t="shared" si="140"/>
        <v>#DIV/0!</v>
      </c>
      <c r="P216" s="114" t="e">
        <f t="shared" si="140"/>
        <v>#DIV/0!</v>
      </c>
      <c r="Q216" s="114" t="e">
        <f t="shared" si="140"/>
        <v>#DIV/0!</v>
      </c>
      <c r="R216" s="114">
        <f t="shared" si="140"/>
        <v>0.14979757085020243</v>
      </c>
      <c r="S216" s="114" t="e">
        <f t="shared" si="140"/>
        <v>#DIV/0!</v>
      </c>
      <c r="T216" s="114"/>
      <c r="U216" s="114"/>
      <c r="V216" s="114">
        <f t="shared" ref="V216:AF216" si="141">V215/V137</f>
        <v>0.20634920634920634</v>
      </c>
      <c r="W216" s="114" t="e">
        <f t="shared" si="141"/>
        <v>#DIV/0!</v>
      </c>
      <c r="X216" s="114" t="e">
        <f t="shared" si="141"/>
        <v>#DIV/0!</v>
      </c>
      <c r="Y216" s="114" t="e">
        <f t="shared" si="141"/>
        <v>#DIV/0!</v>
      </c>
      <c r="Z216" s="114" t="e">
        <f t="shared" si="141"/>
        <v>#DIV/0!</v>
      </c>
      <c r="AA216" s="114" t="e">
        <f t="shared" si="141"/>
        <v>#DIV/0!</v>
      </c>
      <c r="AB216" s="114"/>
      <c r="AC216" s="114">
        <f t="shared" si="141"/>
        <v>0.15044247787610621</v>
      </c>
      <c r="AD216" s="114" t="e">
        <f t="shared" si="141"/>
        <v>#DIV/0!</v>
      </c>
      <c r="AE216" s="114" t="e">
        <f t="shared" si="141"/>
        <v>#DIV/0!</v>
      </c>
      <c r="AF216" s="114" t="e">
        <f t="shared" si="141"/>
        <v>#DIV/0!</v>
      </c>
      <c r="AG216" s="115"/>
      <c r="AH216" s="15"/>
      <c r="AI216" s="15"/>
      <c r="AJ216" s="15"/>
      <c r="AK216" s="15"/>
      <c r="AL216" s="15"/>
    </row>
    <row r="217" spans="1:38" s="33" customFormat="1" ht="20.100000000000001" customHeight="1">
      <c r="A217" s="460"/>
      <c r="B217" s="416" t="s">
        <v>133</v>
      </c>
      <c r="C217" s="434"/>
      <c r="D217" s="113">
        <f>D138-D71</f>
        <v>34656</v>
      </c>
      <c r="E217" s="113">
        <f>E138-E71</f>
        <v>0</v>
      </c>
      <c r="F217" s="114"/>
      <c r="G217" s="113">
        <f t="shared" ref="G217:S217" si="142">G138-G71</f>
        <v>0</v>
      </c>
      <c r="H217" s="113">
        <f t="shared" si="142"/>
        <v>0</v>
      </c>
      <c r="I217" s="113">
        <f t="shared" si="142"/>
        <v>0</v>
      </c>
      <c r="J217" s="113">
        <f t="shared" si="142"/>
        <v>0</v>
      </c>
      <c r="K217" s="113">
        <f t="shared" si="142"/>
        <v>0</v>
      </c>
      <c r="L217" s="113">
        <f t="shared" si="142"/>
        <v>0</v>
      </c>
      <c r="M217" s="113">
        <f t="shared" si="142"/>
        <v>0</v>
      </c>
      <c r="N217" s="113">
        <f t="shared" si="142"/>
        <v>0</v>
      </c>
      <c r="O217" s="113">
        <f t="shared" si="142"/>
        <v>0</v>
      </c>
      <c r="P217" s="113">
        <f t="shared" si="142"/>
        <v>0</v>
      </c>
      <c r="Q217" s="113">
        <f t="shared" si="142"/>
        <v>0</v>
      </c>
      <c r="R217" s="113">
        <f t="shared" si="142"/>
        <v>0</v>
      </c>
      <c r="S217" s="113">
        <f t="shared" si="142"/>
        <v>0</v>
      </c>
      <c r="T217" s="113"/>
      <c r="U217" s="113"/>
      <c r="V217" s="113">
        <f t="shared" ref="V217:AF217" si="143">V138-V71</f>
        <v>18912</v>
      </c>
      <c r="W217" s="113">
        <f t="shared" si="143"/>
        <v>0</v>
      </c>
      <c r="X217" s="113">
        <f t="shared" si="143"/>
        <v>0</v>
      </c>
      <c r="Y217" s="113">
        <f t="shared" si="143"/>
        <v>0</v>
      </c>
      <c r="Z217" s="113">
        <f t="shared" si="143"/>
        <v>0</v>
      </c>
      <c r="AA217" s="113">
        <f t="shared" si="143"/>
        <v>0</v>
      </c>
      <c r="AB217" s="113"/>
      <c r="AC217" s="113">
        <f t="shared" si="143"/>
        <v>0</v>
      </c>
      <c r="AD217" s="113">
        <f t="shared" si="143"/>
        <v>0</v>
      </c>
      <c r="AE217" s="113">
        <f t="shared" si="143"/>
        <v>0</v>
      </c>
      <c r="AF217" s="113">
        <f t="shared" si="143"/>
        <v>0</v>
      </c>
      <c r="AG217" s="115"/>
      <c r="AH217" s="15"/>
      <c r="AI217" s="15"/>
      <c r="AJ217" s="15"/>
      <c r="AK217" s="15"/>
      <c r="AL217" s="15"/>
    </row>
    <row r="218" spans="1:38" s="33" customFormat="1" ht="20.100000000000001" customHeight="1">
      <c r="A218" s="460"/>
      <c r="B218" s="417"/>
      <c r="C218" s="435"/>
      <c r="D218" s="114">
        <f>D217/D138</f>
        <v>0.15032271496981053</v>
      </c>
      <c r="E218" s="114" t="e">
        <f>E217/E138</f>
        <v>#DIV/0!</v>
      </c>
      <c r="F218" s="114"/>
      <c r="G218" s="114" t="e">
        <f t="shared" ref="G218:S218" si="144">G217/G138</f>
        <v>#DIV/0!</v>
      </c>
      <c r="H218" s="114" t="e">
        <f t="shared" si="144"/>
        <v>#DIV/0!</v>
      </c>
      <c r="I218" s="114" t="e">
        <f t="shared" si="144"/>
        <v>#DIV/0!</v>
      </c>
      <c r="J218" s="114" t="e">
        <f t="shared" si="144"/>
        <v>#DIV/0!</v>
      </c>
      <c r="K218" s="114" t="e">
        <f t="shared" si="144"/>
        <v>#DIV/0!</v>
      </c>
      <c r="L218" s="114" t="e">
        <f t="shared" si="144"/>
        <v>#DIV/0!</v>
      </c>
      <c r="M218" s="114" t="e">
        <f t="shared" si="144"/>
        <v>#DIV/0!</v>
      </c>
      <c r="N218" s="114" t="e">
        <f t="shared" si="144"/>
        <v>#DIV/0!</v>
      </c>
      <c r="O218" s="114" t="e">
        <f t="shared" si="144"/>
        <v>#DIV/0!</v>
      </c>
      <c r="P218" s="114" t="e">
        <f t="shared" si="144"/>
        <v>#DIV/0!</v>
      </c>
      <c r="Q218" s="114" t="e">
        <f t="shared" si="144"/>
        <v>#DIV/0!</v>
      </c>
      <c r="R218" s="114" t="e">
        <f t="shared" si="144"/>
        <v>#DIV/0!</v>
      </c>
      <c r="S218" s="114" t="e">
        <f t="shared" si="144"/>
        <v>#DIV/0!</v>
      </c>
      <c r="T218" s="114"/>
      <c r="U218" s="114"/>
      <c r="V218" s="114">
        <f t="shared" ref="V218:AF218" si="145">V217/V138</f>
        <v>0.15038167938931299</v>
      </c>
      <c r="W218" s="114" t="e">
        <f t="shared" si="145"/>
        <v>#DIV/0!</v>
      </c>
      <c r="X218" s="114" t="e">
        <f t="shared" si="145"/>
        <v>#DIV/0!</v>
      </c>
      <c r="Y218" s="114" t="e">
        <f t="shared" si="145"/>
        <v>#DIV/0!</v>
      </c>
      <c r="Z218" s="114" t="e">
        <f t="shared" si="145"/>
        <v>#DIV/0!</v>
      </c>
      <c r="AA218" s="114" t="e">
        <f t="shared" si="145"/>
        <v>#DIV/0!</v>
      </c>
      <c r="AB218" s="114"/>
      <c r="AC218" s="114" t="e">
        <f t="shared" si="145"/>
        <v>#DIV/0!</v>
      </c>
      <c r="AD218" s="114" t="e">
        <f t="shared" si="145"/>
        <v>#DIV/0!</v>
      </c>
      <c r="AE218" s="114" t="e">
        <f t="shared" si="145"/>
        <v>#DIV/0!</v>
      </c>
      <c r="AF218" s="114" t="e">
        <f t="shared" si="145"/>
        <v>#DIV/0!</v>
      </c>
      <c r="AG218" s="115"/>
      <c r="AH218" s="15"/>
      <c r="AI218" s="15"/>
      <c r="AJ218" s="15"/>
      <c r="AK218" s="15"/>
      <c r="AL218" s="15"/>
    </row>
    <row r="219" spans="1:38" s="33" customFormat="1" ht="20.100000000000001" customHeight="1">
      <c r="A219" s="460"/>
      <c r="B219" s="416" t="s">
        <v>131</v>
      </c>
      <c r="C219" s="434"/>
      <c r="D219" s="114"/>
      <c r="E219" s="114"/>
      <c r="F219" s="114"/>
      <c r="G219" s="113">
        <f t="shared" ref="G219:S219" si="146">G139-G73</f>
        <v>0</v>
      </c>
      <c r="H219" s="113">
        <f t="shared" si="146"/>
        <v>0</v>
      </c>
      <c r="I219" s="113">
        <f t="shared" si="146"/>
        <v>19056</v>
      </c>
      <c r="J219" s="113">
        <f t="shared" si="146"/>
        <v>0</v>
      </c>
      <c r="K219" s="113">
        <f t="shared" si="146"/>
        <v>0</v>
      </c>
      <c r="L219" s="113">
        <f t="shared" si="146"/>
        <v>0</v>
      </c>
      <c r="M219" s="113">
        <f t="shared" si="146"/>
        <v>0</v>
      </c>
      <c r="N219" s="113">
        <f t="shared" si="146"/>
        <v>0</v>
      </c>
      <c r="O219" s="113">
        <f t="shared" si="146"/>
        <v>0</v>
      </c>
      <c r="P219" s="113">
        <f t="shared" si="146"/>
        <v>0</v>
      </c>
      <c r="Q219" s="113">
        <f t="shared" si="146"/>
        <v>882</v>
      </c>
      <c r="R219" s="113">
        <f t="shared" si="146"/>
        <v>118176</v>
      </c>
      <c r="S219" s="113">
        <f t="shared" si="146"/>
        <v>0</v>
      </c>
      <c r="T219" s="113"/>
      <c r="U219" s="113"/>
      <c r="V219" s="113">
        <f t="shared" ref="V219:AF219" si="147">V139-V73</f>
        <v>17568</v>
      </c>
      <c r="W219" s="113">
        <f t="shared" si="147"/>
        <v>0</v>
      </c>
      <c r="X219" s="113">
        <f t="shared" si="147"/>
        <v>0</v>
      </c>
      <c r="Y219" s="113">
        <f t="shared" si="147"/>
        <v>0</v>
      </c>
      <c r="Z219" s="113">
        <f t="shared" si="147"/>
        <v>0</v>
      </c>
      <c r="AA219" s="113">
        <f t="shared" si="147"/>
        <v>0</v>
      </c>
      <c r="AB219" s="113"/>
      <c r="AC219" s="113">
        <f t="shared" si="147"/>
        <v>90000</v>
      </c>
      <c r="AD219" s="113">
        <f t="shared" si="147"/>
        <v>0</v>
      </c>
      <c r="AE219" s="113">
        <f t="shared" si="147"/>
        <v>0</v>
      </c>
      <c r="AF219" s="113">
        <f t="shared" si="147"/>
        <v>0</v>
      </c>
      <c r="AG219" s="115"/>
      <c r="AH219" s="15"/>
      <c r="AI219" s="15"/>
      <c r="AJ219" s="15"/>
      <c r="AK219" s="15"/>
      <c r="AL219" s="15"/>
    </row>
    <row r="220" spans="1:38" s="33" customFormat="1" ht="20.100000000000001" customHeight="1">
      <c r="A220" s="460"/>
      <c r="B220" s="417"/>
      <c r="C220" s="435"/>
      <c r="D220" s="114"/>
      <c r="E220" s="114"/>
      <c r="F220" s="114"/>
      <c r="G220" s="114" t="e">
        <f t="shared" ref="G220:S220" si="148">G219/G139</f>
        <v>#DIV/0!</v>
      </c>
      <c r="H220" s="114" t="e">
        <f t="shared" si="148"/>
        <v>#DIV/0!</v>
      </c>
      <c r="I220" s="114">
        <f t="shared" si="148"/>
        <v>0.1499811106913487</v>
      </c>
      <c r="J220" s="114" t="e">
        <f t="shared" si="148"/>
        <v>#DIV/0!</v>
      </c>
      <c r="K220" s="114" t="e">
        <f t="shared" si="148"/>
        <v>#DIV/0!</v>
      </c>
      <c r="L220" s="114" t="e">
        <f t="shared" si="148"/>
        <v>#DIV/0!</v>
      </c>
      <c r="M220" s="114" t="e">
        <f t="shared" si="148"/>
        <v>#DIV/0!</v>
      </c>
      <c r="N220" s="114" t="e">
        <f t="shared" si="148"/>
        <v>#DIV/0!</v>
      </c>
      <c r="O220" s="114" t="e">
        <f t="shared" si="148"/>
        <v>#DIV/0!</v>
      </c>
      <c r="P220" s="114" t="e">
        <f t="shared" si="148"/>
        <v>#DIV/0!</v>
      </c>
      <c r="Q220" s="114">
        <f t="shared" si="148"/>
        <v>0.14994899693981639</v>
      </c>
      <c r="R220" s="114">
        <f t="shared" si="148"/>
        <v>0.1500121862052157</v>
      </c>
      <c r="S220" s="114" t="e">
        <f t="shared" si="148"/>
        <v>#DIV/0!</v>
      </c>
      <c r="T220" s="114"/>
      <c r="U220" s="114"/>
      <c r="V220" s="114">
        <f t="shared" ref="V220:AF220" si="149">V219/V139</f>
        <v>0.14993854977468252</v>
      </c>
      <c r="W220" s="114" t="e">
        <f t="shared" si="149"/>
        <v>#DIV/0!</v>
      </c>
      <c r="X220" s="114" t="e">
        <f t="shared" si="149"/>
        <v>#DIV/0!</v>
      </c>
      <c r="Y220" s="114" t="e">
        <f t="shared" si="149"/>
        <v>#DIV/0!</v>
      </c>
      <c r="Z220" s="114" t="e">
        <f t="shared" si="149"/>
        <v>#DIV/0!</v>
      </c>
      <c r="AA220" s="114" t="e">
        <f t="shared" si="149"/>
        <v>#DIV/0!</v>
      </c>
      <c r="AB220" s="114"/>
      <c r="AC220" s="114">
        <f t="shared" si="149"/>
        <v>0.15</v>
      </c>
      <c r="AD220" s="114" t="e">
        <f t="shared" si="149"/>
        <v>#DIV/0!</v>
      </c>
      <c r="AE220" s="114" t="e">
        <f t="shared" si="149"/>
        <v>#DIV/0!</v>
      </c>
      <c r="AF220" s="114" t="e">
        <f t="shared" si="149"/>
        <v>#DIV/0!</v>
      </c>
      <c r="AG220" s="115"/>
      <c r="AH220" s="15"/>
      <c r="AI220" s="15"/>
      <c r="AJ220" s="15"/>
      <c r="AK220" s="15"/>
      <c r="AL220" s="15"/>
    </row>
    <row r="221" spans="1:38" s="33" customFormat="1" ht="20.100000000000001" customHeight="1">
      <c r="A221" s="460"/>
      <c r="B221" s="416" t="s">
        <v>132</v>
      </c>
      <c r="C221" s="434"/>
      <c r="D221" s="114"/>
      <c r="E221" s="114"/>
      <c r="F221" s="114"/>
      <c r="G221" s="113">
        <f t="shared" ref="G221:S221" si="150">G140-G75</f>
        <v>565</v>
      </c>
      <c r="H221" s="113">
        <f t="shared" si="150"/>
        <v>11862</v>
      </c>
      <c r="I221" s="113">
        <f t="shared" si="150"/>
        <v>998638</v>
      </c>
      <c r="J221" s="113">
        <f t="shared" si="150"/>
        <v>24564</v>
      </c>
      <c r="K221" s="113">
        <f t="shared" si="150"/>
        <v>0</v>
      </c>
      <c r="L221" s="113">
        <f t="shared" si="150"/>
        <v>0</v>
      </c>
      <c r="M221" s="113">
        <f t="shared" si="150"/>
        <v>0</v>
      </c>
      <c r="N221" s="113">
        <f t="shared" si="150"/>
        <v>0</v>
      </c>
      <c r="O221" s="113">
        <f t="shared" si="150"/>
        <v>-789</v>
      </c>
      <c r="P221" s="113">
        <f t="shared" si="150"/>
        <v>0</v>
      </c>
      <c r="Q221" s="113">
        <f t="shared" si="150"/>
        <v>0</v>
      </c>
      <c r="R221" s="113">
        <f t="shared" si="150"/>
        <v>247336</v>
      </c>
      <c r="S221" s="113">
        <f t="shared" si="150"/>
        <v>0</v>
      </c>
      <c r="T221" s="113"/>
      <c r="U221" s="113"/>
      <c r="V221" s="113">
        <f t="shared" ref="V221:AF221" si="151">V140-V75</f>
        <v>46094</v>
      </c>
      <c r="W221" s="113">
        <f t="shared" si="151"/>
        <v>-37748</v>
      </c>
      <c r="X221" s="113">
        <f t="shared" si="151"/>
        <v>0</v>
      </c>
      <c r="Y221" s="113">
        <f t="shared" si="151"/>
        <v>0</v>
      </c>
      <c r="Z221" s="113">
        <f t="shared" si="151"/>
        <v>6710</v>
      </c>
      <c r="AA221" s="113">
        <f t="shared" si="151"/>
        <v>682</v>
      </c>
      <c r="AB221" s="113"/>
      <c r="AC221" s="113">
        <f t="shared" si="151"/>
        <v>130920</v>
      </c>
      <c r="AD221" s="113">
        <f t="shared" si="151"/>
        <v>0</v>
      </c>
      <c r="AE221" s="113">
        <f t="shared" si="151"/>
        <v>0</v>
      </c>
      <c r="AF221" s="113">
        <f t="shared" si="151"/>
        <v>2285</v>
      </c>
      <c r="AG221" s="115"/>
      <c r="AH221" s="15"/>
      <c r="AI221" s="15"/>
      <c r="AJ221" s="15"/>
      <c r="AK221" s="15"/>
      <c r="AL221" s="15"/>
    </row>
    <row r="222" spans="1:38" s="33" customFormat="1" ht="20.100000000000001" customHeight="1">
      <c r="A222" s="460"/>
      <c r="B222" s="417"/>
      <c r="C222" s="435"/>
      <c r="D222" s="114"/>
      <c r="E222" s="114"/>
      <c r="F222" s="114"/>
      <c r="G222" s="114">
        <f t="shared" ref="G222:S222" si="152">G221/G140</f>
        <v>0.150066401062417</v>
      </c>
      <c r="H222" s="114">
        <f t="shared" si="152"/>
        <v>0.15003415041359947</v>
      </c>
      <c r="I222" s="114">
        <f t="shared" si="152"/>
        <v>0.1496275635068873</v>
      </c>
      <c r="J222" s="114">
        <f t="shared" si="152"/>
        <v>0.14999633619110428</v>
      </c>
      <c r="K222" s="114" t="e">
        <f t="shared" si="152"/>
        <v>#DIV/0!</v>
      </c>
      <c r="L222" s="114" t="e">
        <f t="shared" si="152"/>
        <v>#DIV/0!</v>
      </c>
      <c r="M222" s="114" t="e">
        <f t="shared" si="152"/>
        <v>#DIV/0!</v>
      </c>
      <c r="N222" s="114" t="e">
        <f t="shared" si="152"/>
        <v>#DIV/0!</v>
      </c>
      <c r="O222" s="114">
        <f t="shared" si="152"/>
        <v>-1.2750896926209638E-2</v>
      </c>
      <c r="P222" s="114" t="e">
        <f t="shared" si="152"/>
        <v>#DIV/0!</v>
      </c>
      <c r="Q222" s="114" t="e">
        <f t="shared" si="152"/>
        <v>#DIV/0!</v>
      </c>
      <c r="R222" s="114">
        <f t="shared" si="152"/>
        <v>0.148973180298168</v>
      </c>
      <c r="S222" s="114" t="e">
        <f t="shared" si="152"/>
        <v>#DIV/0!</v>
      </c>
      <c r="T222" s="114"/>
      <c r="U222" s="114"/>
      <c r="V222" s="114">
        <f t="shared" ref="V222:AF222" si="153">V221/V140</f>
        <v>0.15001920235375293</v>
      </c>
      <c r="W222" s="114">
        <f t="shared" si="153"/>
        <v>-0.70357116230522632</v>
      </c>
      <c r="X222" s="114" t="e">
        <f t="shared" si="153"/>
        <v>#DIV/0!</v>
      </c>
      <c r="Y222" s="114" t="e">
        <f t="shared" si="153"/>
        <v>#DIV/0!</v>
      </c>
      <c r="Z222" s="114">
        <f t="shared" si="153"/>
        <v>0.15007828226347572</v>
      </c>
      <c r="AA222" s="114">
        <f t="shared" si="153"/>
        <v>0.14992306001318972</v>
      </c>
      <c r="AB222" s="114"/>
      <c r="AC222" s="114">
        <f t="shared" si="153"/>
        <v>0.15000687474219718</v>
      </c>
      <c r="AD222" s="114" t="e">
        <f t="shared" si="153"/>
        <v>#DIV/0!</v>
      </c>
      <c r="AE222" s="114" t="e">
        <f t="shared" si="153"/>
        <v>#DIV/0!</v>
      </c>
      <c r="AF222" s="114">
        <f t="shared" si="153"/>
        <v>0.14998359041680343</v>
      </c>
      <c r="AG222" s="115"/>
      <c r="AH222" s="15"/>
      <c r="AI222" s="15"/>
      <c r="AJ222" s="15"/>
      <c r="AK222" s="15"/>
      <c r="AL222" s="15"/>
    </row>
    <row r="223" spans="1:38" s="33" customFormat="1" ht="20.100000000000001" customHeight="1">
      <c r="A223" s="460"/>
      <c r="B223" s="416" t="s">
        <v>134</v>
      </c>
      <c r="C223" s="434"/>
      <c r="D223" s="113">
        <f>D141-D77</f>
        <v>0</v>
      </c>
      <c r="E223" s="113">
        <f>E141-E77</f>
        <v>0</v>
      </c>
      <c r="F223" s="114"/>
      <c r="G223" s="113">
        <f t="shared" ref="G223:S223" si="154">G141-G77</f>
        <v>0</v>
      </c>
      <c r="H223" s="113">
        <f t="shared" si="154"/>
        <v>0</v>
      </c>
      <c r="I223" s="113">
        <f t="shared" si="154"/>
        <v>0</v>
      </c>
      <c r="J223" s="113">
        <f t="shared" si="154"/>
        <v>0</v>
      </c>
      <c r="K223" s="113">
        <f t="shared" si="154"/>
        <v>0</v>
      </c>
      <c r="L223" s="113">
        <f t="shared" si="154"/>
        <v>0</v>
      </c>
      <c r="M223" s="113">
        <f t="shared" si="154"/>
        <v>0</v>
      </c>
      <c r="N223" s="113">
        <f t="shared" si="154"/>
        <v>0</v>
      </c>
      <c r="O223" s="113">
        <f t="shared" si="154"/>
        <v>0</v>
      </c>
      <c r="P223" s="113">
        <f t="shared" si="154"/>
        <v>0</v>
      </c>
      <c r="Q223" s="113">
        <f t="shared" si="154"/>
        <v>0</v>
      </c>
      <c r="R223" s="113">
        <f t="shared" si="154"/>
        <v>0</v>
      </c>
      <c r="S223" s="113">
        <f t="shared" si="154"/>
        <v>0</v>
      </c>
      <c r="T223" s="113"/>
      <c r="U223" s="113"/>
      <c r="V223" s="113">
        <f t="shared" ref="V223:AF223" si="155">V141-V77</f>
        <v>425000</v>
      </c>
      <c r="W223" s="113">
        <f t="shared" si="155"/>
        <v>0</v>
      </c>
      <c r="X223" s="113">
        <f t="shared" si="155"/>
        <v>0</v>
      </c>
      <c r="Y223" s="113">
        <f t="shared" si="155"/>
        <v>0</v>
      </c>
      <c r="Z223" s="113">
        <f t="shared" si="155"/>
        <v>0</v>
      </c>
      <c r="AA223" s="113">
        <f t="shared" si="155"/>
        <v>0</v>
      </c>
      <c r="AB223" s="113"/>
      <c r="AC223" s="113">
        <f t="shared" si="155"/>
        <v>0</v>
      </c>
      <c r="AD223" s="113">
        <f t="shared" si="155"/>
        <v>0</v>
      </c>
      <c r="AE223" s="113">
        <f t="shared" si="155"/>
        <v>0</v>
      </c>
      <c r="AF223" s="113">
        <f t="shared" si="155"/>
        <v>0</v>
      </c>
      <c r="AG223" s="115"/>
      <c r="AH223" s="15"/>
      <c r="AI223" s="15"/>
      <c r="AJ223" s="15"/>
      <c r="AK223" s="15"/>
      <c r="AL223" s="15"/>
    </row>
    <row r="224" spans="1:38" s="33" customFormat="1" ht="20.100000000000001" customHeight="1">
      <c r="A224" s="460"/>
      <c r="B224" s="417"/>
      <c r="C224" s="435"/>
      <c r="D224" s="114" t="e">
        <f>D223/D141</f>
        <v>#DIV/0!</v>
      </c>
      <c r="E224" s="114" t="e">
        <f>E223/E141</f>
        <v>#DIV/0!</v>
      </c>
      <c r="F224" s="114"/>
      <c r="G224" s="114" t="e">
        <f t="shared" ref="G224:S224" si="156">G223/G141</f>
        <v>#DIV/0!</v>
      </c>
      <c r="H224" s="114" t="e">
        <f t="shared" si="156"/>
        <v>#DIV/0!</v>
      </c>
      <c r="I224" s="114" t="e">
        <f t="shared" si="156"/>
        <v>#DIV/0!</v>
      </c>
      <c r="J224" s="114" t="e">
        <f t="shared" si="156"/>
        <v>#DIV/0!</v>
      </c>
      <c r="K224" s="114" t="e">
        <f t="shared" si="156"/>
        <v>#DIV/0!</v>
      </c>
      <c r="L224" s="114" t="e">
        <f t="shared" si="156"/>
        <v>#DIV/0!</v>
      </c>
      <c r="M224" s="114" t="e">
        <f t="shared" si="156"/>
        <v>#DIV/0!</v>
      </c>
      <c r="N224" s="114" t="e">
        <f t="shared" si="156"/>
        <v>#DIV/0!</v>
      </c>
      <c r="O224" s="114" t="e">
        <f t="shared" si="156"/>
        <v>#DIV/0!</v>
      </c>
      <c r="P224" s="114" t="e">
        <f t="shared" si="156"/>
        <v>#DIV/0!</v>
      </c>
      <c r="Q224" s="114" t="e">
        <f t="shared" si="156"/>
        <v>#DIV/0!</v>
      </c>
      <c r="R224" s="114" t="e">
        <f t="shared" si="156"/>
        <v>#DIV/0!</v>
      </c>
      <c r="S224" s="114" t="e">
        <f t="shared" si="156"/>
        <v>#DIV/0!</v>
      </c>
      <c r="T224" s="114"/>
      <c r="U224" s="114"/>
      <c r="V224" s="114">
        <f t="shared" ref="V224:AF224" si="157">V223/V141</f>
        <v>0.16582130316035895</v>
      </c>
      <c r="W224" s="114" t="e">
        <f t="shared" si="157"/>
        <v>#DIV/0!</v>
      </c>
      <c r="X224" s="114" t="e">
        <f t="shared" si="157"/>
        <v>#DIV/0!</v>
      </c>
      <c r="Y224" s="114" t="e">
        <f t="shared" si="157"/>
        <v>#DIV/0!</v>
      </c>
      <c r="Z224" s="114" t="e">
        <f t="shared" si="157"/>
        <v>#DIV/0!</v>
      </c>
      <c r="AA224" s="114" t="e">
        <f t="shared" si="157"/>
        <v>#DIV/0!</v>
      </c>
      <c r="AB224" s="114"/>
      <c r="AC224" s="114" t="e">
        <f t="shared" si="157"/>
        <v>#DIV/0!</v>
      </c>
      <c r="AD224" s="114" t="e">
        <f t="shared" si="157"/>
        <v>#DIV/0!</v>
      </c>
      <c r="AE224" s="114" t="e">
        <f t="shared" si="157"/>
        <v>#DIV/0!</v>
      </c>
      <c r="AF224" s="114" t="e">
        <f t="shared" si="157"/>
        <v>#DIV/0!</v>
      </c>
      <c r="AG224" s="115"/>
      <c r="AH224" s="15"/>
      <c r="AI224" s="15"/>
      <c r="AJ224" s="15"/>
      <c r="AK224" s="15"/>
      <c r="AL224" s="15"/>
    </row>
    <row r="225" spans="1:38" s="33" customFormat="1" ht="20.100000000000001" customHeight="1">
      <c r="A225" s="460"/>
      <c r="B225" s="416" t="s">
        <v>135</v>
      </c>
      <c r="C225" s="434"/>
      <c r="D225" s="113">
        <f>D142-D79</f>
        <v>72000</v>
      </c>
      <c r="E225" s="113">
        <f>E142-E79</f>
        <v>0</v>
      </c>
      <c r="F225" s="114"/>
      <c r="G225" s="113">
        <f t="shared" ref="G225:AF225" si="158">G142-G79</f>
        <v>0</v>
      </c>
      <c r="H225" s="113">
        <f t="shared" si="158"/>
        <v>55000</v>
      </c>
      <c r="I225" s="113">
        <f t="shared" si="158"/>
        <v>96000</v>
      </c>
      <c r="J225" s="113">
        <f t="shared" si="158"/>
        <v>0</v>
      </c>
      <c r="K225" s="113">
        <f t="shared" si="158"/>
        <v>0</v>
      </c>
      <c r="L225" s="113">
        <f t="shared" si="158"/>
        <v>0</v>
      </c>
      <c r="M225" s="113">
        <f t="shared" si="158"/>
        <v>0</v>
      </c>
      <c r="N225" s="113">
        <f t="shared" si="158"/>
        <v>98000</v>
      </c>
      <c r="O225" s="113">
        <f t="shared" si="158"/>
        <v>0</v>
      </c>
      <c r="P225" s="113">
        <f t="shared" si="158"/>
        <v>3000</v>
      </c>
      <c r="Q225" s="113">
        <f t="shared" si="158"/>
        <v>0</v>
      </c>
      <c r="R225" s="113">
        <f t="shared" si="158"/>
        <v>38400</v>
      </c>
      <c r="S225" s="113">
        <f t="shared" si="158"/>
        <v>2000</v>
      </c>
      <c r="T225" s="113">
        <f t="shared" si="158"/>
        <v>0</v>
      </c>
      <c r="U225" s="113">
        <f t="shared" si="158"/>
        <v>3600</v>
      </c>
      <c r="V225" s="113">
        <f t="shared" si="158"/>
        <v>148800</v>
      </c>
      <c r="W225" s="113">
        <f t="shared" si="158"/>
        <v>0</v>
      </c>
      <c r="X225" s="113">
        <f t="shared" si="158"/>
        <v>0</v>
      </c>
      <c r="Y225" s="113">
        <f t="shared" si="158"/>
        <v>0</v>
      </c>
      <c r="Z225" s="113">
        <f t="shared" si="158"/>
        <v>0</v>
      </c>
      <c r="AA225" s="113">
        <f t="shared" si="158"/>
        <v>2200</v>
      </c>
      <c r="AB225" s="113"/>
      <c r="AC225" s="113">
        <f t="shared" si="158"/>
        <v>96000</v>
      </c>
      <c r="AD225" s="113">
        <f t="shared" si="158"/>
        <v>0</v>
      </c>
      <c r="AE225" s="113">
        <f t="shared" si="158"/>
        <v>0</v>
      </c>
      <c r="AF225" s="113">
        <f t="shared" si="158"/>
        <v>0</v>
      </c>
      <c r="AG225" s="115"/>
      <c r="AH225" s="15"/>
      <c r="AI225" s="15"/>
      <c r="AJ225" s="15"/>
      <c r="AK225" s="15"/>
      <c r="AL225" s="15"/>
    </row>
    <row r="226" spans="1:38" s="33" customFormat="1" ht="20.100000000000001" customHeight="1">
      <c r="A226" s="460"/>
      <c r="B226" s="417"/>
      <c r="C226" s="435"/>
      <c r="D226" s="114">
        <f>D225/D142</f>
        <v>0.2</v>
      </c>
      <c r="E226" s="114" t="e">
        <f>E225/E142</f>
        <v>#DIV/0!</v>
      </c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5"/>
      <c r="AH226" s="15"/>
      <c r="AI226" s="15"/>
      <c r="AJ226" s="15"/>
      <c r="AK226" s="15"/>
      <c r="AL226" s="15"/>
    </row>
    <row r="227" spans="1:38" s="33" customFormat="1" ht="20.100000000000001" customHeight="1">
      <c r="A227" s="460"/>
      <c r="B227" s="416" t="s">
        <v>230</v>
      </c>
      <c r="C227" s="43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5"/>
      <c r="AH227" s="15"/>
      <c r="AI227" s="15"/>
      <c r="AJ227" s="15"/>
      <c r="AK227" s="15"/>
      <c r="AL227" s="15"/>
    </row>
    <row r="228" spans="1:38" s="33" customFormat="1" ht="20.100000000000001" customHeight="1">
      <c r="A228" s="460"/>
      <c r="B228" s="417"/>
      <c r="C228" s="435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5"/>
      <c r="AH228" s="15"/>
      <c r="AI228" s="15"/>
      <c r="AJ228" s="15"/>
      <c r="AK228" s="15"/>
      <c r="AL228" s="15"/>
    </row>
    <row r="229" spans="1:38" s="33" customFormat="1" ht="20.100000000000001" customHeight="1">
      <c r="A229" s="460"/>
      <c r="B229" s="416" t="s">
        <v>231</v>
      </c>
      <c r="C229" s="43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5"/>
      <c r="AH229" s="15"/>
      <c r="AI229" s="15"/>
      <c r="AJ229" s="15"/>
      <c r="AK229" s="15"/>
      <c r="AL229" s="15"/>
    </row>
    <row r="230" spans="1:38" s="33" customFormat="1" ht="20.100000000000001" customHeight="1">
      <c r="A230" s="460"/>
      <c r="B230" s="417"/>
      <c r="C230" s="435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5"/>
      <c r="AH230" s="15"/>
      <c r="AI230" s="15"/>
      <c r="AJ230" s="15"/>
      <c r="AK230" s="15"/>
      <c r="AL230" s="15"/>
    </row>
    <row r="231" spans="1:38" s="33" customFormat="1" ht="20.100000000000001" customHeight="1">
      <c r="A231" s="460"/>
      <c r="B231" s="416" t="s">
        <v>236</v>
      </c>
      <c r="C231" s="43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5"/>
      <c r="AH231" s="15"/>
      <c r="AI231" s="15"/>
      <c r="AJ231" s="15"/>
      <c r="AK231" s="15"/>
      <c r="AL231" s="15"/>
    </row>
    <row r="232" spans="1:38" s="33" customFormat="1" ht="20.100000000000001" customHeight="1">
      <c r="A232" s="460"/>
      <c r="B232" s="417"/>
      <c r="C232" s="435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5"/>
      <c r="AH232" s="15"/>
      <c r="AI232" s="15"/>
      <c r="AJ232" s="15"/>
      <c r="AK232" s="15"/>
      <c r="AL232" s="15"/>
    </row>
    <row r="233" spans="1:38" s="33" customFormat="1" ht="20.100000000000001" customHeight="1">
      <c r="A233" s="460"/>
      <c r="B233" s="416" t="s">
        <v>143</v>
      </c>
      <c r="C233" s="125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5"/>
      <c r="AH233" s="15"/>
      <c r="AI233" s="15"/>
      <c r="AJ233" s="15"/>
      <c r="AK233" s="15"/>
      <c r="AL233" s="15"/>
    </row>
    <row r="234" spans="1:38" s="33" customFormat="1" ht="20.100000000000001" customHeight="1">
      <c r="A234" s="460"/>
      <c r="B234" s="417"/>
      <c r="C234" s="125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5"/>
      <c r="AH234" s="15"/>
      <c r="AI234" s="15"/>
      <c r="AJ234" s="15"/>
      <c r="AK234" s="15"/>
      <c r="AL234" s="15"/>
    </row>
    <row r="235" spans="1:38" s="33" customFormat="1" ht="20.100000000000001" customHeight="1">
      <c r="A235" s="460"/>
      <c r="B235" s="416" t="s">
        <v>263</v>
      </c>
      <c r="C235" s="125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3">
        <f>T149-T93</f>
        <v>90127.058823529398</v>
      </c>
      <c r="U235" s="113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5"/>
      <c r="AH235" s="15"/>
      <c r="AI235" s="15"/>
      <c r="AJ235" s="15"/>
      <c r="AK235" s="15"/>
      <c r="AL235" s="15"/>
    </row>
    <row r="236" spans="1:38" s="33" customFormat="1" ht="20.100000000000001" customHeight="1">
      <c r="A236" s="460"/>
      <c r="B236" s="417"/>
      <c r="C236" s="125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>
        <f>T235/T149</f>
        <v>0.15</v>
      </c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5"/>
      <c r="AH236" s="15"/>
      <c r="AI236" s="15"/>
      <c r="AJ236" s="15"/>
      <c r="AK236" s="15"/>
      <c r="AL236" s="15"/>
    </row>
    <row r="237" spans="1:38" s="33" customFormat="1" ht="20.100000000000001" customHeight="1">
      <c r="A237" s="460"/>
      <c r="B237" s="418" t="s">
        <v>56</v>
      </c>
      <c r="C237" s="419"/>
      <c r="D237" s="113">
        <f>D152-D99</f>
        <v>0</v>
      </c>
      <c r="E237" s="113">
        <f>E152-E99</f>
        <v>0</v>
      </c>
      <c r="F237" s="113">
        <f>F142-F35</f>
        <v>4000</v>
      </c>
      <c r="G237" s="113">
        <f t="shared" ref="G237:S237" si="159">G152-G99</f>
        <v>0</v>
      </c>
      <c r="H237" s="113">
        <f t="shared" si="159"/>
        <v>0</v>
      </c>
      <c r="I237" s="113">
        <f t="shared" si="159"/>
        <v>-12800</v>
      </c>
      <c r="J237" s="113">
        <f t="shared" si="159"/>
        <v>0</v>
      </c>
      <c r="K237" s="113">
        <f t="shared" si="159"/>
        <v>-3000</v>
      </c>
      <c r="L237" s="113">
        <f t="shared" si="159"/>
        <v>0</v>
      </c>
      <c r="M237" s="113">
        <f t="shared" si="159"/>
        <v>0</v>
      </c>
      <c r="N237" s="113">
        <f t="shared" si="159"/>
        <v>52800</v>
      </c>
      <c r="O237" s="113">
        <f t="shared" si="159"/>
        <v>0</v>
      </c>
      <c r="P237" s="113">
        <f t="shared" si="159"/>
        <v>0</v>
      </c>
      <c r="Q237" s="113">
        <f t="shared" si="159"/>
        <v>0</v>
      </c>
      <c r="R237" s="113">
        <f t="shared" si="159"/>
        <v>0</v>
      </c>
      <c r="S237" s="113">
        <f t="shared" si="159"/>
        <v>0</v>
      </c>
      <c r="T237" s="113"/>
      <c r="U237" s="113"/>
      <c r="V237" s="113">
        <f t="shared" ref="V237:AF237" si="160">V152-V99</f>
        <v>0</v>
      </c>
      <c r="W237" s="113">
        <f t="shared" si="160"/>
        <v>0</v>
      </c>
      <c r="X237" s="113">
        <f t="shared" si="160"/>
        <v>0</v>
      </c>
      <c r="Y237" s="113">
        <f t="shared" si="160"/>
        <v>0</v>
      </c>
      <c r="Z237" s="113">
        <f t="shared" si="160"/>
        <v>0</v>
      </c>
      <c r="AA237" s="113">
        <f t="shared" si="160"/>
        <v>0</v>
      </c>
      <c r="AB237" s="113"/>
      <c r="AC237" s="113">
        <f t="shared" si="160"/>
        <v>0</v>
      </c>
      <c r="AD237" s="113">
        <f t="shared" si="160"/>
        <v>21980</v>
      </c>
      <c r="AE237" s="113">
        <f t="shared" si="160"/>
        <v>6600</v>
      </c>
      <c r="AF237" s="113">
        <f t="shared" si="160"/>
        <v>0</v>
      </c>
      <c r="AG237" s="73">
        <f>SUM(D237:AC237)</f>
        <v>41000</v>
      </c>
      <c r="AH237" s="15"/>
      <c r="AI237" s="15"/>
      <c r="AJ237" s="15"/>
      <c r="AK237" s="15"/>
      <c r="AL237" s="15"/>
    </row>
    <row r="238" spans="1:38" s="33" customFormat="1" ht="20.100000000000001" customHeight="1">
      <c r="A238" s="460"/>
      <c r="B238" s="420"/>
      <c r="C238" s="421"/>
      <c r="D238" s="114">
        <f>D237/D152</f>
        <v>0</v>
      </c>
      <c r="E238" s="114" t="e">
        <f>E237/E152</f>
        <v>#DIV/0!</v>
      </c>
      <c r="F238" s="114"/>
      <c r="G238" s="114">
        <f t="shared" ref="G238:S238" si="161">G237/G152</f>
        <v>0</v>
      </c>
      <c r="H238" s="114">
        <f t="shared" si="161"/>
        <v>0</v>
      </c>
      <c r="I238" s="114">
        <f t="shared" si="161"/>
        <v>-5.3364462603185191E-2</v>
      </c>
      <c r="J238" s="114" t="e">
        <f t="shared" si="161"/>
        <v>#DIV/0!</v>
      </c>
      <c r="K238" s="114">
        <f t="shared" si="161"/>
        <v>-0.11556240369799692</v>
      </c>
      <c r="L238" s="114" t="e">
        <f t="shared" si="161"/>
        <v>#DIV/0!</v>
      </c>
      <c r="M238" s="114" t="e">
        <f t="shared" si="161"/>
        <v>#DIV/0!</v>
      </c>
      <c r="N238" s="114">
        <f t="shared" si="161"/>
        <v>0.39939485627836613</v>
      </c>
      <c r="O238" s="114" t="e">
        <f t="shared" si="161"/>
        <v>#DIV/0!</v>
      </c>
      <c r="P238" s="114" t="e">
        <f t="shared" si="161"/>
        <v>#DIV/0!</v>
      </c>
      <c r="Q238" s="114" t="e">
        <f t="shared" si="161"/>
        <v>#DIV/0!</v>
      </c>
      <c r="R238" s="114">
        <f t="shared" si="161"/>
        <v>0</v>
      </c>
      <c r="S238" s="114">
        <f t="shared" si="161"/>
        <v>0</v>
      </c>
      <c r="T238" s="114"/>
      <c r="U238" s="114"/>
      <c r="V238" s="114">
        <f t="shared" ref="V238:AF238" si="162">V237/V152</f>
        <v>0</v>
      </c>
      <c r="W238" s="114">
        <f t="shared" si="162"/>
        <v>0</v>
      </c>
      <c r="X238" s="114" t="e">
        <f t="shared" si="162"/>
        <v>#DIV/0!</v>
      </c>
      <c r="Y238" s="114" t="e">
        <f t="shared" si="162"/>
        <v>#DIV/0!</v>
      </c>
      <c r="Z238" s="114" t="e">
        <f t="shared" si="162"/>
        <v>#DIV/0!</v>
      </c>
      <c r="AA238" s="114">
        <f t="shared" si="162"/>
        <v>0</v>
      </c>
      <c r="AB238" s="114"/>
      <c r="AC238" s="114">
        <f t="shared" si="162"/>
        <v>0</v>
      </c>
      <c r="AD238" s="114">
        <f t="shared" si="162"/>
        <v>5.2981728775972618E-2</v>
      </c>
      <c r="AE238" s="114">
        <f t="shared" si="162"/>
        <v>0.21568627450980393</v>
      </c>
      <c r="AF238" s="114" t="e">
        <f t="shared" si="162"/>
        <v>#DIV/0!</v>
      </c>
      <c r="AG238" s="115">
        <f>AG237/AG142</f>
        <v>1.3295285037940203E-2</v>
      </c>
      <c r="AH238" s="15"/>
      <c r="AI238" s="15"/>
      <c r="AJ238" s="15"/>
      <c r="AK238" s="15"/>
      <c r="AL238" s="15"/>
    </row>
    <row r="239" spans="1:38" s="33" customFormat="1" ht="20.100000000000001" customHeight="1">
      <c r="A239" s="460"/>
      <c r="B239" s="422" t="s">
        <v>136</v>
      </c>
      <c r="C239" s="423"/>
      <c r="D239" s="113">
        <f>D153-D101</f>
        <v>0</v>
      </c>
      <c r="E239" s="113">
        <f>E153-E101</f>
        <v>0</v>
      </c>
      <c r="F239" s="114"/>
      <c r="G239" s="113">
        <f t="shared" ref="G239:S239" si="163">G153-G101</f>
        <v>0</v>
      </c>
      <c r="H239" s="113">
        <f t="shared" si="163"/>
        <v>0</v>
      </c>
      <c r="I239" s="113">
        <f t="shared" si="163"/>
        <v>0</v>
      </c>
      <c r="J239" s="113">
        <f t="shared" si="163"/>
        <v>0</v>
      </c>
      <c r="K239" s="113">
        <f t="shared" si="163"/>
        <v>0</v>
      </c>
      <c r="L239" s="113">
        <f t="shared" si="163"/>
        <v>0</v>
      </c>
      <c r="M239" s="113">
        <f t="shared" si="163"/>
        <v>0</v>
      </c>
      <c r="N239" s="113">
        <f t="shared" si="163"/>
        <v>0</v>
      </c>
      <c r="O239" s="113">
        <f t="shared" si="163"/>
        <v>0</v>
      </c>
      <c r="P239" s="113">
        <f t="shared" si="163"/>
        <v>0</v>
      </c>
      <c r="Q239" s="113">
        <f t="shared" si="163"/>
        <v>0</v>
      </c>
      <c r="R239" s="113">
        <f t="shared" si="163"/>
        <v>0</v>
      </c>
      <c r="S239" s="113">
        <f t="shared" si="163"/>
        <v>0</v>
      </c>
      <c r="T239" s="113"/>
      <c r="U239" s="113"/>
      <c r="V239" s="113">
        <f t="shared" ref="V239:AF239" si="164">V153-V101</f>
        <v>0</v>
      </c>
      <c r="W239" s="113">
        <f t="shared" si="164"/>
        <v>0</v>
      </c>
      <c r="X239" s="113">
        <f t="shared" si="164"/>
        <v>0</v>
      </c>
      <c r="Y239" s="113">
        <f t="shared" si="164"/>
        <v>0</v>
      </c>
      <c r="Z239" s="113">
        <f t="shared" si="164"/>
        <v>0</v>
      </c>
      <c r="AA239" s="113">
        <f t="shared" si="164"/>
        <v>0</v>
      </c>
      <c r="AB239" s="113"/>
      <c r="AC239" s="113">
        <f t="shared" si="164"/>
        <v>33333</v>
      </c>
      <c r="AD239" s="113">
        <f t="shared" si="164"/>
        <v>0</v>
      </c>
      <c r="AE239" s="113">
        <f t="shared" si="164"/>
        <v>0</v>
      </c>
      <c r="AF239" s="113">
        <f t="shared" si="164"/>
        <v>0</v>
      </c>
      <c r="AG239" s="115"/>
      <c r="AH239" s="15"/>
      <c r="AI239" s="15"/>
      <c r="AJ239" s="15"/>
      <c r="AK239" s="15"/>
      <c r="AL239" s="15"/>
    </row>
    <row r="240" spans="1:38" s="33" customFormat="1" ht="20.100000000000001" customHeight="1">
      <c r="A240" s="461"/>
      <c r="B240" s="424"/>
      <c r="C240" s="425"/>
      <c r="D240" s="114" t="e">
        <f>D239/D153</f>
        <v>#DIV/0!</v>
      </c>
      <c r="E240" s="114" t="e">
        <f>E239/E153</f>
        <v>#DIV/0!</v>
      </c>
      <c r="F240" s="114"/>
      <c r="G240" s="114" t="e">
        <f t="shared" ref="G240:S240" si="165">G239/G153</f>
        <v>#DIV/0!</v>
      </c>
      <c r="H240" s="114" t="e">
        <f t="shared" si="165"/>
        <v>#DIV/0!</v>
      </c>
      <c r="I240" s="114" t="e">
        <f t="shared" si="165"/>
        <v>#DIV/0!</v>
      </c>
      <c r="J240" s="114" t="e">
        <f t="shared" si="165"/>
        <v>#DIV/0!</v>
      </c>
      <c r="K240" s="114" t="e">
        <f t="shared" si="165"/>
        <v>#DIV/0!</v>
      </c>
      <c r="L240" s="114" t="e">
        <f t="shared" si="165"/>
        <v>#DIV/0!</v>
      </c>
      <c r="M240" s="114" t="e">
        <f t="shared" si="165"/>
        <v>#DIV/0!</v>
      </c>
      <c r="N240" s="114" t="e">
        <f t="shared" si="165"/>
        <v>#DIV/0!</v>
      </c>
      <c r="O240" s="114" t="e">
        <f t="shared" si="165"/>
        <v>#DIV/0!</v>
      </c>
      <c r="P240" s="114" t="e">
        <f t="shared" si="165"/>
        <v>#DIV/0!</v>
      </c>
      <c r="Q240" s="114" t="e">
        <f t="shared" si="165"/>
        <v>#DIV/0!</v>
      </c>
      <c r="R240" s="114" t="e">
        <f t="shared" si="165"/>
        <v>#DIV/0!</v>
      </c>
      <c r="S240" s="114" t="e">
        <f t="shared" si="165"/>
        <v>#DIV/0!</v>
      </c>
      <c r="T240" s="114"/>
      <c r="U240" s="114"/>
      <c r="V240" s="114" t="e">
        <f t="shared" ref="V240:AF240" si="166">V239/V153</f>
        <v>#DIV/0!</v>
      </c>
      <c r="W240" s="114" t="e">
        <f t="shared" si="166"/>
        <v>#DIV/0!</v>
      </c>
      <c r="X240" s="114" t="e">
        <f t="shared" si="166"/>
        <v>#DIV/0!</v>
      </c>
      <c r="Y240" s="114" t="e">
        <f t="shared" si="166"/>
        <v>#DIV/0!</v>
      </c>
      <c r="Z240" s="114" t="e">
        <f t="shared" si="166"/>
        <v>#DIV/0!</v>
      </c>
      <c r="AA240" s="114" t="e">
        <f t="shared" si="166"/>
        <v>#DIV/0!</v>
      </c>
      <c r="AB240" s="114"/>
      <c r="AC240" s="114">
        <f t="shared" si="166"/>
        <v>7.4073333333333338E-2</v>
      </c>
      <c r="AD240" s="114" t="e">
        <f t="shared" si="166"/>
        <v>#DIV/0!</v>
      </c>
      <c r="AE240" s="114" t="e">
        <f t="shared" si="166"/>
        <v>#DIV/0!</v>
      </c>
      <c r="AF240" s="114" t="e">
        <f t="shared" si="166"/>
        <v>#DIV/0!</v>
      </c>
      <c r="AG240" s="115"/>
      <c r="AH240" s="15"/>
      <c r="AI240" s="15"/>
      <c r="AJ240" s="15"/>
      <c r="AK240" s="15"/>
      <c r="AL240" s="15"/>
    </row>
    <row r="241" spans="1:38" s="33" customFormat="1" ht="20.100000000000001" customHeight="1">
      <c r="A241" s="108"/>
      <c r="B241" s="422" t="s">
        <v>137</v>
      </c>
      <c r="C241" s="423"/>
      <c r="D241" s="113">
        <f>D155-D105</f>
        <v>245260</v>
      </c>
      <c r="E241" s="113">
        <f>E155-E105</f>
        <v>4840</v>
      </c>
      <c r="F241" s="114"/>
      <c r="G241" s="74">
        <f t="shared" ref="G241:Q241" si="167">G155-G105</f>
        <v>660</v>
      </c>
      <c r="H241" s="74">
        <f t="shared" si="167"/>
        <v>0</v>
      </c>
      <c r="I241" s="74">
        <f t="shared" si="167"/>
        <v>230474</v>
      </c>
      <c r="J241" s="74">
        <f t="shared" si="167"/>
        <v>0</v>
      </c>
      <c r="K241" s="74">
        <f t="shared" si="167"/>
        <v>2690</v>
      </c>
      <c r="L241" s="74">
        <f t="shared" si="167"/>
        <v>0</v>
      </c>
      <c r="M241" s="74">
        <f t="shared" si="167"/>
        <v>0</v>
      </c>
      <c r="N241" s="74">
        <f t="shared" si="167"/>
        <v>124200</v>
      </c>
      <c r="O241" s="74">
        <f t="shared" si="167"/>
        <v>0</v>
      </c>
      <c r="P241" s="74">
        <f t="shared" si="167"/>
        <v>1230</v>
      </c>
      <c r="Q241" s="74">
        <f t="shared" si="167"/>
        <v>3740</v>
      </c>
      <c r="R241" s="74"/>
      <c r="S241" s="74">
        <f>S156-S105</f>
        <v>79775</v>
      </c>
      <c r="T241" s="74"/>
      <c r="U241" s="74"/>
      <c r="V241" s="74">
        <f>V156-V105</f>
        <v>10473056</v>
      </c>
      <c r="W241" s="74">
        <f t="shared" ref="W241:AF241" si="168">W155-W105</f>
        <v>3000</v>
      </c>
      <c r="X241" s="74">
        <f t="shared" si="168"/>
        <v>0</v>
      </c>
      <c r="Y241" s="74">
        <f t="shared" si="168"/>
        <v>0</v>
      </c>
      <c r="Z241" s="74">
        <f t="shared" si="168"/>
        <v>2500</v>
      </c>
      <c r="AA241" s="74">
        <f t="shared" si="168"/>
        <v>2000</v>
      </c>
      <c r="AB241" s="74"/>
      <c r="AC241" s="74">
        <f t="shared" si="168"/>
        <v>12373</v>
      </c>
      <c r="AD241" s="74">
        <f t="shared" si="168"/>
        <v>3000</v>
      </c>
      <c r="AE241" s="74">
        <f t="shared" si="168"/>
        <v>3430</v>
      </c>
      <c r="AF241" s="74">
        <f t="shared" si="168"/>
        <v>4000</v>
      </c>
      <c r="AG241" s="115"/>
      <c r="AH241" s="15"/>
      <c r="AI241" s="15"/>
      <c r="AJ241" s="15"/>
      <c r="AK241" s="15"/>
      <c r="AL241" s="15"/>
    </row>
    <row r="242" spans="1:38" s="33" customFormat="1" ht="20.100000000000001" customHeight="1">
      <c r="A242" s="108"/>
      <c r="B242" s="424"/>
      <c r="C242" s="425"/>
      <c r="D242" s="114">
        <f>D241/D155</f>
        <v>0.22676965580497402</v>
      </c>
      <c r="E242" s="114">
        <f>E241/E155</f>
        <v>0.2262739597942964</v>
      </c>
      <c r="F242" s="114"/>
      <c r="G242" s="114">
        <f t="shared" ref="G242:Q242" si="169">G241/G155</f>
        <v>1.6918738784926942E-2</v>
      </c>
      <c r="H242" s="114">
        <f t="shared" si="169"/>
        <v>0</v>
      </c>
      <c r="I242" s="114">
        <f t="shared" si="169"/>
        <v>0.19775435537677957</v>
      </c>
      <c r="J242" s="114" t="e">
        <f t="shared" si="169"/>
        <v>#DIV/0!</v>
      </c>
      <c r="K242" s="114">
        <f t="shared" si="169"/>
        <v>0.13731495661051557</v>
      </c>
      <c r="L242" s="114">
        <f t="shared" si="169"/>
        <v>0</v>
      </c>
      <c r="M242" s="114">
        <f t="shared" si="169"/>
        <v>0</v>
      </c>
      <c r="N242" s="114">
        <f t="shared" si="169"/>
        <v>1</v>
      </c>
      <c r="O242" s="114">
        <f t="shared" si="169"/>
        <v>0</v>
      </c>
      <c r="P242" s="114">
        <f t="shared" si="169"/>
        <v>0.53246753246753242</v>
      </c>
      <c r="Q242" s="114">
        <f t="shared" si="169"/>
        <v>0.12703804347826086</v>
      </c>
      <c r="R242" s="114"/>
      <c r="S242" s="114">
        <f>S241/S156</f>
        <v>0.8797904604356217</v>
      </c>
      <c r="T242" s="114"/>
      <c r="U242" s="114"/>
      <c r="V242" s="114">
        <f>V241/V156</f>
        <v>0.95267002699444725</v>
      </c>
      <c r="W242" s="114">
        <f t="shared" ref="W242:AF242" si="170">W241/W155</f>
        <v>4.8426150121065374E-2</v>
      </c>
      <c r="X242" s="114" t="e">
        <f t="shared" si="170"/>
        <v>#DIV/0!</v>
      </c>
      <c r="Y242" s="114" t="e">
        <f t="shared" si="170"/>
        <v>#DIV/0!</v>
      </c>
      <c r="Z242" s="114">
        <f t="shared" si="170"/>
        <v>4.6554934823091247E-2</v>
      </c>
      <c r="AA242" s="114">
        <f t="shared" si="170"/>
        <v>0.14336917562724014</v>
      </c>
      <c r="AB242" s="114"/>
      <c r="AC242" s="114">
        <f t="shared" si="170"/>
        <v>2.2880845036042E-2</v>
      </c>
      <c r="AD242" s="114">
        <f t="shared" si="170"/>
        <v>8.4985835694050993E-2</v>
      </c>
      <c r="AE242" s="114">
        <f t="shared" si="170"/>
        <v>0.1181129476584022</v>
      </c>
      <c r="AF242" s="114">
        <f t="shared" si="170"/>
        <v>0.32921810699588477</v>
      </c>
      <c r="AG242" s="115"/>
      <c r="AH242" s="15"/>
      <c r="AI242" s="15"/>
      <c r="AJ242" s="15"/>
      <c r="AK242" s="15"/>
      <c r="AL242" s="15"/>
    </row>
    <row r="243" spans="1:38" s="33" customFormat="1" ht="20.100000000000001" customHeight="1">
      <c r="A243" s="476" t="s">
        <v>57</v>
      </c>
      <c r="B243" s="432" t="s">
        <v>58</v>
      </c>
      <c r="C243" s="433"/>
      <c r="D243" s="265" t="e">
        <f>D161+D163+D165+D167+D169+D171+D173+D175+D177+D179+D181+D183+D185+D187+D189+D191+D193+D195+D197+D199+D201+D205+D207+D209+D211+D213+D215+D217+D219+D221+D223+D225+D237+D239+D233+D203</f>
        <v>#REF!</v>
      </c>
      <c r="E243" s="265" t="e">
        <f t="shared" ref="E243:AA243" si="171">E161+E163+E165+E167+E169+E171+E173+E175+E177+E179+E181+E183+E185+E187+E189+E191+E193+E195+E197+E199+E201+E205+E207+E209+E211+E213+E215+E217+E219+E221+E223+E225+E237+E239+E233+E203</f>
        <v>#REF!</v>
      </c>
      <c r="F243" s="265" t="e">
        <f t="shared" si="171"/>
        <v>#REF!</v>
      </c>
      <c r="G243" s="265" t="e">
        <f t="shared" si="171"/>
        <v>#REF!</v>
      </c>
      <c r="H243" s="265">
        <f t="shared" si="171"/>
        <v>-803</v>
      </c>
      <c r="I243" s="265">
        <f>I161+I163+I165+I167+I169+I171+I173+I175+I177+I179+I181+I183+I185+I187+I189+I191+I193+I195+I197+I199+I201+I205+I207+I209+I211+I213+I215+I217+I219+I221+I223+I225+I237+I239+I233+I203</f>
        <v>363157.36842105258</v>
      </c>
      <c r="J243" s="265">
        <f>J161+J163+J165+J167+J169+J171+J173+J175+J177+J179+J181+J183+J185+J187+J189+J191+J193+J195+J197+J199+J201+J205+J207+J209+J211+J213+J215+J217+J219+J221+J223+J225+J237+J239+J233+J203</f>
        <v>32574.105263157893</v>
      </c>
      <c r="K243" s="265">
        <f t="shared" si="171"/>
        <v>20085</v>
      </c>
      <c r="L243" s="265">
        <f t="shared" si="171"/>
        <v>0</v>
      </c>
      <c r="M243" s="265">
        <f>M161+M163+M165+M167+M169+M171+M173+M175+M177+M179+M181+M183+M185+M187+M189+M191+M193+M195+M197+M199+M201+M205+M207+M209+M211+M213+M215+M217+M219+M221+M223+M225+M237+M239+M233+M203</f>
        <v>4800</v>
      </c>
      <c r="N243" s="265">
        <f t="shared" si="171"/>
        <v>182220</v>
      </c>
      <c r="O243" s="265">
        <f t="shared" si="171"/>
        <v>-789</v>
      </c>
      <c r="P243" s="265" t="e">
        <f>P161+P163+P165+P167+P169+P171+P173+P175+P177+P179+P181+P183+P185+P187+P189+P191+P193+P195+P197+P199+P201+P205+P207+P209+P211+P213+P215+P217+P219+P221+P223+P225+P237+P239+P233+P203</f>
        <v>#REF!</v>
      </c>
      <c r="Q243" s="265" t="e">
        <f t="shared" si="171"/>
        <v>#REF!</v>
      </c>
      <c r="R243" s="265"/>
      <c r="S243" s="265" t="e">
        <f>S161+S163+S165+S167+S169+S171+S173+S175+S177+S179+S181+S183+S185+S187+S189+S191+S193+S195+S197+S199+S201+S205+S207+S209+S211+S213+S215+S217+S219+S221+S223+S225+S237+S239+S233+S203</f>
        <v>#REF!</v>
      </c>
      <c r="T243" s="265"/>
      <c r="U243" s="265"/>
      <c r="V243" s="265" t="e">
        <f t="shared" si="171"/>
        <v>#REF!</v>
      </c>
      <c r="W243" s="265" t="e">
        <f t="shared" si="171"/>
        <v>#REF!</v>
      </c>
      <c r="X243" s="265" t="e">
        <f t="shared" si="171"/>
        <v>#REF!</v>
      </c>
      <c r="Y243" s="265" t="e">
        <f t="shared" si="171"/>
        <v>#REF!</v>
      </c>
      <c r="Z243" s="265" t="e">
        <f t="shared" si="171"/>
        <v>#REF!</v>
      </c>
      <c r="AA243" s="265" t="e">
        <f t="shared" si="171"/>
        <v>#REF!</v>
      </c>
      <c r="AB243" s="265"/>
      <c r="AC243" s="265" t="e">
        <f>AC161+AC165+AC163+AC173+AC171+AC169+AC175+AC177+AC181+AC167+(AC153-AC105)+AC237+AC193+AC195+AC183+AC187+AC191+AC201+AC199+AC189+AC205+AC209+AC211+AC207+AC197+AC185+AC179</f>
        <v>#REF!</v>
      </c>
      <c r="AD243" s="265" t="e">
        <f>AD161+AD165+AD163+AD173+AD171+AD169+AD175+AD177+AD181+AD167+(AD153-AD105)+AD237+AD193+AD195+AD183+AD187+AD191+AD201+AD199+AD189+AD205+AD209+AD211+AD207+AD197+AD185+AD179</f>
        <v>#REF!</v>
      </c>
      <c r="AE243" s="265" t="e">
        <f>AE161+AE165+AE163+AE173+AE171+AE169+AE175+AE177+AE181+AE167+(AE153-AE105)+AE237+AE193+AE195+AE183+AE187+AE191+AE201+AE199+AE189+AE205+AE209+AE211+AE207+AE197+AE185+AE179</f>
        <v>#REF!</v>
      </c>
      <c r="AF243" s="265" t="e">
        <f>AF161+AF165+AF163+AF173+AF171+AF169+AF175+AF177+AF181+AF167+(AF153-AF105)+AF237+AF193+AF195+AF183+AF187+AF191+AF201+AF199+AF189+AF205+AF209+AF211+AF207+AF197+AF185+AF179</f>
        <v>#REF!</v>
      </c>
      <c r="AG243" s="75" t="e">
        <f>SUM(D243:AF243)</f>
        <v>#REF!</v>
      </c>
      <c r="AH243" s="23" t="e">
        <f>AA243+AC243</f>
        <v>#REF!</v>
      </c>
      <c r="AI243" s="23" t="e">
        <f>AH243+144000</f>
        <v>#REF!</v>
      </c>
      <c r="AJ243" s="15"/>
      <c r="AK243" s="15"/>
      <c r="AL243" s="15"/>
    </row>
    <row r="244" spans="1:38" s="33" customFormat="1" ht="20.100000000000001" customHeight="1">
      <c r="A244" s="476"/>
      <c r="B244" s="432" t="s">
        <v>59</v>
      </c>
      <c r="C244" s="433"/>
      <c r="D244" s="115" t="e">
        <f t="shared" ref="D244:Q244" si="172">D243/(D156-D155)</f>
        <v>#REF!</v>
      </c>
      <c r="E244" s="115" t="e">
        <f t="shared" si="172"/>
        <v>#REF!</v>
      </c>
      <c r="F244" s="115" t="e">
        <f t="shared" si="172"/>
        <v>#REF!</v>
      </c>
      <c r="G244" s="115" t="e">
        <f t="shared" si="172"/>
        <v>#REF!</v>
      </c>
      <c r="H244" s="115">
        <f t="shared" si="172"/>
        <v>-1.0714381021001789E-3</v>
      </c>
      <c r="I244" s="115">
        <f t="shared" si="172"/>
        <v>1.8140023173255939E-2</v>
      </c>
      <c r="J244" s="115">
        <f t="shared" si="172"/>
        <v>0.13984383967491754</v>
      </c>
      <c r="K244" s="115">
        <f t="shared" si="172"/>
        <v>0.28461505760319689</v>
      </c>
      <c r="L244" s="115" t="e">
        <f t="shared" si="172"/>
        <v>#DIV/0!</v>
      </c>
      <c r="M244" s="115">
        <f t="shared" si="172"/>
        <v>0.17679558011049723</v>
      </c>
      <c r="N244" s="115">
        <f t="shared" si="172"/>
        <v>0.20111495073665994</v>
      </c>
      <c r="O244" s="115">
        <f t="shared" si="172"/>
        <v>-1.2750896926209638E-2</v>
      </c>
      <c r="P244" s="115" t="e">
        <f t="shared" si="172"/>
        <v>#REF!</v>
      </c>
      <c r="Q244" s="115" t="e">
        <f t="shared" si="172"/>
        <v>#REF!</v>
      </c>
      <c r="R244" s="115"/>
      <c r="S244" s="115" t="e">
        <f>S243/(#REF!-S156)</f>
        <v>#REF!</v>
      </c>
      <c r="T244" s="115"/>
      <c r="U244" s="115"/>
      <c r="V244" s="115" t="e">
        <f>V243/(#REF!-V156)</f>
        <v>#REF!</v>
      </c>
      <c r="W244" s="115" t="e">
        <f>W243/(W156-W155)</f>
        <v>#REF!</v>
      </c>
      <c r="X244" s="115" t="e">
        <f>X243/(X156-X155)</f>
        <v>#REF!</v>
      </c>
      <c r="Y244" s="115" t="e">
        <f>Y243/(Y156-Y155)</f>
        <v>#REF!</v>
      </c>
      <c r="Z244" s="115" t="e">
        <f>Z243/(Z156-Z155)</f>
        <v>#REF!</v>
      </c>
      <c r="AA244" s="115" t="e">
        <f>AA243/(AA156-AA155)</f>
        <v>#REF!</v>
      </c>
      <c r="AB244" s="115"/>
      <c r="AC244" s="115" t="e">
        <f>AC243/AC156</f>
        <v>#REF!</v>
      </c>
      <c r="AD244" s="115" t="e">
        <f>AD243/AD156</f>
        <v>#REF!</v>
      </c>
      <c r="AE244" s="115"/>
      <c r="AF244" s="115"/>
      <c r="AG244" s="115" t="e">
        <f>AG243/AG156</f>
        <v>#REF!</v>
      </c>
      <c r="AH244" s="15"/>
      <c r="AI244" s="15"/>
      <c r="AJ244" s="15"/>
      <c r="AK244" s="15"/>
      <c r="AL244" s="15"/>
    </row>
    <row r="245" spans="1:38" s="33" customFormat="1" ht="20.100000000000001" customHeight="1">
      <c r="A245" s="215"/>
      <c r="B245" s="217" t="s">
        <v>227</v>
      </c>
      <c r="C245" s="216"/>
      <c r="D245" s="292" t="e">
        <f>D243+D241</f>
        <v>#REF!</v>
      </c>
      <c r="E245" s="292" t="e">
        <f t="shared" ref="E245:AA245" si="173">E243+E241</f>
        <v>#REF!</v>
      </c>
      <c r="F245" s="292" t="e">
        <f t="shared" si="173"/>
        <v>#REF!</v>
      </c>
      <c r="G245" s="292" t="e">
        <f t="shared" si="173"/>
        <v>#REF!</v>
      </c>
      <c r="H245" s="292">
        <f t="shared" si="173"/>
        <v>-803</v>
      </c>
      <c r="I245" s="292">
        <f>I243+I241</f>
        <v>593631.36842105258</v>
      </c>
      <c r="J245" s="292">
        <f>J243+J241</f>
        <v>32574.105263157893</v>
      </c>
      <c r="K245" s="292">
        <f t="shared" si="173"/>
        <v>22775</v>
      </c>
      <c r="L245" s="292">
        <f t="shared" si="173"/>
        <v>0</v>
      </c>
      <c r="M245" s="292">
        <f t="shared" si="173"/>
        <v>4800</v>
      </c>
      <c r="N245" s="292">
        <f t="shared" si="173"/>
        <v>306420</v>
      </c>
      <c r="O245" s="292">
        <f t="shared" si="173"/>
        <v>-789</v>
      </c>
      <c r="P245" s="292" t="e">
        <f t="shared" si="173"/>
        <v>#REF!</v>
      </c>
      <c r="Q245" s="292" t="e">
        <f t="shared" si="173"/>
        <v>#REF!</v>
      </c>
      <c r="R245" s="292"/>
      <c r="S245" s="292" t="e">
        <f t="shared" si="173"/>
        <v>#REF!</v>
      </c>
      <c r="T245" s="292"/>
      <c r="U245" s="292"/>
      <c r="V245" s="292" t="e">
        <f t="shared" si="173"/>
        <v>#REF!</v>
      </c>
      <c r="W245" s="292" t="e">
        <f t="shared" si="173"/>
        <v>#REF!</v>
      </c>
      <c r="X245" s="292" t="e">
        <f t="shared" si="173"/>
        <v>#REF!</v>
      </c>
      <c r="Y245" s="292" t="e">
        <f t="shared" si="173"/>
        <v>#REF!</v>
      </c>
      <c r="Z245" s="292" t="e">
        <f t="shared" si="173"/>
        <v>#REF!</v>
      </c>
      <c r="AA245" s="292" t="e">
        <f t="shared" si="173"/>
        <v>#REF!</v>
      </c>
      <c r="AB245" s="355"/>
      <c r="AC245" s="295"/>
      <c r="AD245" s="115"/>
      <c r="AE245" s="115"/>
      <c r="AF245" s="115"/>
      <c r="AG245" s="292" t="e">
        <f>SUM(D245:AA245)</f>
        <v>#REF!</v>
      </c>
      <c r="AH245" s="15"/>
      <c r="AI245" s="15"/>
      <c r="AJ245" s="15"/>
      <c r="AK245" s="15"/>
      <c r="AL245" s="15"/>
    </row>
    <row r="246" spans="1:38" s="33" customFormat="1" ht="20.100000000000001" customHeight="1" thickBot="1">
      <c r="A246" s="215"/>
      <c r="B246" s="217" t="s">
        <v>228</v>
      </c>
      <c r="C246" s="216"/>
      <c r="D246" s="115" t="e">
        <f t="shared" ref="D246:Q246" si="174">D245/D156</f>
        <v>#REF!</v>
      </c>
      <c r="E246" s="115" t="e">
        <f t="shared" si="174"/>
        <v>#REF!</v>
      </c>
      <c r="F246" s="115" t="e">
        <f t="shared" si="174"/>
        <v>#REF!</v>
      </c>
      <c r="G246" s="115" t="e">
        <f t="shared" si="174"/>
        <v>#REF!</v>
      </c>
      <c r="H246" s="115">
        <f t="shared" si="174"/>
        <v>-8.7864231707717388E-4</v>
      </c>
      <c r="I246" s="115">
        <f t="shared" si="174"/>
        <v>2.8021132766233664E-2</v>
      </c>
      <c r="J246" s="115">
        <f t="shared" si="174"/>
        <v>0.13984383967491754</v>
      </c>
      <c r="K246" s="115">
        <f t="shared" si="174"/>
        <v>0.25260927916236869</v>
      </c>
      <c r="L246" s="115">
        <f t="shared" si="174"/>
        <v>0</v>
      </c>
      <c r="M246" s="115">
        <f t="shared" si="174"/>
        <v>0.13753581661891118</v>
      </c>
      <c r="N246" s="115">
        <f t="shared" si="174"/>
        <v>0.29742324428366346</v>
      </c>
      <c r="O246" s="115">
        <f t="shared" si="174"/>
        <v>-9.9247779818360214E-3</v>
      </c>
      <c r="P246" s="115" t="e">
        <f t="shared" si="174"/>
        <v>#REF!</v>
      </c>
      <c r="Q246" s="115" t="e">
        <f t="shared" si="174"/>
        <v>#REF!</v>
      </c>
      <c r="R246" s="115"/>
      <c r="S246" s="115" t="e">
        <f>S245/#REF!</f>
        <v>#REF!</v>
      </c>
      <c r="T246" s="115"/>
      <c r="U246" s="115"/>
      <c r="V246" s="115" t="e">
        <f>V245/#REF!</f>
        <v>#REF!</v>
      </c>
      <c r="W246" s="115" t="e">
        <f t="shared" ref="W246:AG246" si="175">W245/W156</f>
        <v>#REF!</v>
      </c>
      <c r="X246" s="115" t="e">
        <f t="shared" si="175"/>
        <v>#REF!</v>
      </c>
      <c r="Y246" s="115" t="e">
        <f t="shared" si="175"/>
        <v>#REF!</v>
      </c>
      <c r="Z246" s="115" t="e">
        <f t="shared" si="175"/>
        <v>#REF!</v>
      </c>
      <c r="AA246" s="115" t="e">
        <f t="shared" si="175"/>
        <v>#REF!</v>
      </c>
      <c r="AB246" s="115"/>
      <c r="AC246" s="115">
        <f t="shared" si="175"/>
        <v>0</v>
      </c>
      <c r="AD246" s="115">
        <f t="shared" si="175"/>
        <v>0</v>
      </c>
      <c r="AE246" s="115">
        <f t="shared" si="175"/>
        <v>0</v>
      </c>
      <c r="AF246" s="115">
        <f t="shared" si="175"/>
        <v>0</v>
      </c>
      <c r="AG246" s="115" t="e">
        <f t="shared" si="175"/>
        <v>#REF!</v>
      </c>
      <c r="AH246" s="15"/>
      <c r="AI246" s="15"/>
      <c r="AJ246" s="15"/>
      <c r="AK246" s="15"/>
      <c r="AL246" s="15"/>
    </row>
    <row r="247" spans="1:38" s="33" customFormat="1" ht="15" customHeight="1">
      <c r="A247" s="477" t="s">
        <v>60</v>
      </c>
      <c r="B247" s="478"/>
      <c r="C247" s="478"/>
      <c r="D247" s="409">
        <f t="shared" ref="D247:AF247" si="176">D156</f>
        <v>16529391</v>
      </c>
      <c r="E247" s="409">
        <f t="shared" si="176"/>
        <v>105444</v>
      </c>
      <c r="F247" s="409">
        <f t="shared" si="176"/>
        <v>155881</v>
      </c>
      <c r="G247" s="409">
        <f t="shared" si="176"/>
        <v>181070</v>
      </c>
      <c r="H247" s="409">
        <f t="shared" si="176"/>
        <v>913910</v>
      </c>
      <c r="I247" s="409">
        <f t="shared" si="176"/>
        <v>21185131</v>
      </c>
      <c r="J247" s="409">
        <f t="shared" si="176"/>
        <v>232932</v>
      </c>
      <c r="K247" s="409">
        <f t="shared" si="176"/>
        <v>90159</v>
      </c>
      <c r="L247" s="510">
        <f t="shared" si="176"/>
        <v>36100</v>
      </c>
      <c r="M247" s="511">
        <f t="shared" si="176"/>
        <v>34900</v>
      </c>
      <c r="N247" s="511">
        <f t="shared" si="176"/>
        <v>1030249</v>
      </c>
      <c r="O247" s="513">
        <f t="shared" si="176"/>
        <v>79498</v>
      </c>
      <c r="P247" s="513">
        <f t="shared" si="176"/>
        <v>164754</v>
      </c>
      <c r="Q247" s="489">
        <f t="shared" si="176"/>
        <v>68963</v>
      </c>
      <c r="R247" s="489">
        <f t="shared" si="176"/>
        <v>16724035.294117648</v>
      </c>
      <c r="S247" s="489">
        <f t="shared" si="176"/>
        <v>90675</v>
      </c>
      <c r="T247" s="489">
        <f>T156</f>
        <v>17310919.05882353</v>
      </c>
      <c r="U247" s="489">
        <f>U156</f>
        <v>15500</v>
      </c>
      <c r="V247" s="489">
        <f t="shared" si="176"/>
        <v>10993372</v>
      </c>
      <c r="W247" s="489">
        <f t="shared" si="176"/>
        <v>383850</v>
      </c>
      <c r="X247" s="489">
        <f t="shared" si="176"/>
        <v>28611</v>
      </c>
      <c r="Y247" s="489">
        <f t="shared" si="176"/>
        <v>2604212</v>
      </c>
      <c r="Z247" s="488">
        <f t="shared" si="176"/>
        <v>258045</v>
      </c>
      <c r="AA247" s="488">
        <f t="shared" si="176"/>
        <v>77044</v>
      </c>
      <c r="AB247" s="488">
        <f>AB156</f>
        <v>402913</v>
      </c>
      <c r="AC247" s="488">
        <f t="shared" si="176"/>
        <v>12570924</v>
      </c>
      <c r="AD247" s="409">
        <f t="shared" si="176"/>
        <v>649053</v>
      </c>
      <c r="AE247" s="409">
        <f t="shared" si="176"/>
        <v>182688</v>
      </c>
      <c r="AF247" s="409">
        <f t="shared" si="176"/>
        <v>78137</v>
      </c>
      <c r="AG247" s="383"/>
      <c r="AH247" s="15"/>
      <c r="AI247" s="15"/>
      <c r="AJ247" s="15"/>
      <c r="AK247" s="15"/>
      <c r="AL247" s="15"/>
    </row>
    <row r="248" spans="1:38" s="33" customFormat="1" ht="15" customHeight="1" thickBot="1">
      <c r="A248" s="414"/>
      <c r="B248" s="415"/>
      <c r="C248" s="415"/>
      <c r="D248" s="409"/>
      <c r="E248" s="409"/>
      <c r="F248" s="409"/>
      <c r="G248" s="409"/>
      <c r="H248" s="409"/>
      <c r="I248" s="409"/>
      <c r="J248" s="409"/>
      <c r="K248" s="409"/>
      <c r="L248" s="510"/>
      <c r="M248" s="512"/>
      <c r="N248" s="512"/>
      <c r="O248" s="514"/>
      <c r="P248" s="514"/>
      <c r="Q248" s="490"/>
      <c r="R248" s="490"/>
      <c r="S248" s="490"/>
      <c r="T248" s="490"/>
      <c r="U248" s="490"/>
      <c r="V248" s="490"/>
      <c r="W248" s="490"/>
      <c r="X248" s="490"/>
      <c r="Y248" s="490"/>
      <c r="Z248" s="408"/>
      <c r="AA248" s="408"/>
      <c r="AB248" s="408"/>
      <c r="AC248" s="408"/>
      <c r="AD248" s="409"/>
      <c r="AE248" s="409"/>
      <c r="AF248" s="409"/>
      <c r="AG248" s="383"/>
      <c r="AH248" s="15"/>
      <c r="AI248" s="15"/>
      <c r="AJ248" s="15"/>
      <c r="AK248" s="15"/>
      <c r="AL248" s="15"/>
    </row>
    <row r="249" spans="1:38" s="33" customFormat="1" ht="19.5" customHeight="1">
      <c r="A249" s="410" t="s">
        <v>61</v>
      </c>
      <c r="B249" s="411"/>
      <c r="C249" s="411"/>
      <c r="D249" s="296"/>
      <c r="E249" s="296"/>
      <c r="F249" s="296"/>
      <c r="G249" s="296"/>
      <c r="H249" s="296"/>
      <c r="I249" s="296"/>
      <c r="J249" s="296"/>
      <c r="K249" s="296"/>
      <c r="L249" s="296"/>
      <c r="M249" s="297"/>
      <c r="N249" s="297"/>
      <c r="O249" s="297"/>
      <c r="P249" s="297"/>
      <c r="Q249" s="297"/>
      <c r="R249" s="297"/>
      <c r="S249" s="296"/>
      <c r="T249" s="296"/>
      <c r="U249" s="296"/>
      <c r="V249" s="296"/>
      <c r="W249" s="296"/>
      <c r="X249" s="296"/>
      <c r="Y249" s="296"/>
      <c r="Z249" s="296"/>
      <c r="AA249" s="296"/>
      <c r="AB249" s="296"/>
      <c r="AC249" s="296"/>
      <c r="AD249" s="296"/>
      <c r="AE249" s="296"/>
      <c r="AF249" s="296"/>
      <c r="AG249" s="75"/>
      <c r="AH249" s="15"/>
      <c r="AI249" s="15"/>
      <c r="AJ249" s="15"/>
      <c r="AK249" s="15"/>
      <c r="AL249" s="15"/>
    </row>
    <row r="250" spans="1:38" s="33" customFormat="1" ht="14.25">
      <c r="A250" s="396" t="s">
        <v>62</v>
      </c>
      <c r="B250" s="390" t="s">
        <v>63</v>
      </c>
      <c r="C250" s="391"/>
      <c r="D250" s="389">
        <v>45506</v>
      </c>
      <c r="E250" s="385">
        <v>45601</v>
      </c>
      <c r="F250" s="385">
        <v>45601</v>
      </c>
      <c r="G250" s="385">
        <v>45601</v>
      </c>
      <c r="H250" s="385">
        <v>45601</v>
      </c>
      <c r="I250" s="389">
        <v>45559</v>
      </c>
      <c r="J250" s="385">
        <f>I266</f>
        <v>45307</v>
      </c>
      <c r="K250" s="389">
        <f>J250</f>
        <v>45307</v>
      </c>
      <c r="L250" s="389">
        <f>K250</f>
        <v>45307</v>
      </c>
      <c r="M250" s="385">
        <v>45307</v>
      </c>
      <c r="N250" s="385">
        <f>M250</f>
        <v>45307</v>
      </c>
      <c r="O250" s="385">
        <v>45307</v>
      </c>
      <c r="P250" s="503">
        <v>45729</v>
      </c>
      <c r="Q250" s="503">
        <f>P250</f>
        <v>45729</v>
      </c>
      <c r="R250" s="385">
        <v>45639</v>
      </c>
      <c r="S250" s="503">
        <v>45729</v>
      </c>
      <c r="T250" s="385">
        <v>45717</v>
      </c>
      <c r="U250" s="491">
        <v>45765</v>
      </c>
      <c r="V250" s="385">
        <v>45751</v>
      </c>
      <c r="W250" s="491">
        <v>45765</v>
      </c>
      <c r="X250" s="491">
        <v>45765</v>
      </c>
      <c r="Y250" s="491">
        <v>45765</v>
      </c>
      <c r="Z250" s="385"/>
      <c r="AA250" s="385"/>
      <c r="AB250" s="385"/>
      <c r="AC250" s="385">
        <v>45796</v>
      </c>
      <c r="AD250" s="385"/>
      <c r="AE250" s="385"/>
      <c r="AF250" s="385"/>
      <c r="AG250" s="389"/>
      <c r="AH250" s="23"/>
      <c r="AI250" s="15"/>
      <c r="AJ250" s="15"/>
      <c r="AK250" s="15"/>
      <c r="AL250" s="15"/>
    </row>
    <row r="251" spans="1:38" s="33" customFormat="1" ht="14.25">
      <c r="A251" s="390"/>
      <c r="B251" s="390"/>
      <c r="C251" s="391"/>
      <c r="D251" s="389"/>
      <c r="E251" s="386"/>
      <c r="F251" s="386"/>
      <c r="G251" s="386"/>
      <c r="H251" s="386"/>
      <c r="I251" s="389"/>
      <c r="J251" s="386"/>
      <c r="K251" s="389"/>
      <c r="L251" s="389"/>
      <c r="M251" s="386"/>
      <c r="N251" s="386"/>
      <c r="O251" s="386"/>
      <c r="P251" s="504"/>
      <c r="Q251" s="504"/>
      <c r="R251" s="386"/>
      <c r="S251" s="504"/>
      <c r="T251" s="386"/>
      <c r="U251" s="492"/>
      <c r="V251" s="386"/>
      <c r="W251" s="492"/>
      <c r="X251" s="492"/>
      <c r="Y251" s="492"/>
      <c r="Z251" s="386"/>
      <c r="AA251" s="386"/>
      <c r="AB251" s="386"/>
      <c r="AC251" s="386"/>
      <c r="AD251" s="386"/>
      <c r="AE251" s="386"/>
      <c r="AF251" s="386"/>
      <c r="AG251" s="389"/>
      <c r="AH251" s="15"/>
      <c r="AI251" s="15"/>
      <c r="AJ251" s="15"/>
      <c r="AK251" s="15"/>
      <c r="AL251" s="15"/>
    </row>
    <row r="252" spans="1:38" s="33" customFormat="1" ht="14.25">
      <c r="A252" s="390"/>
      <c r="B252" s="390" t="s">
        <v>64</v>
      </c>
      <c r="C252" s="391"/>
      <c r="D252" s="497">
        <v>5000000</v>
      </c>
      <c r="E252" s="387">
        <v>105444</v>
      </c>
      <c r="F252" s="497">
        <f>F247</f>
        <v>155881</v>
      </c>
      <c r="G252" s="497">
        <f>G247</f>
        <v>181070</v>
      </c>
      <c r="H252" s="497">
        <f>H247</f>
        <v>913910</v>
      </c>
      <c r="I252" s="383">
        <v>7457749</v>
      </c>
      <c r="J252" s="387">
        <v>232932</v>
      </c>
      <c r="K252" s="497">
        <v>90159</v>
      </c>
      <c r="L252" s="497">
        <v>36100</v>
      </c>
      <c r="M252" s="387">
        <v>34900</v>
      </c>
      <c r="N252" s="387">
        <v>1030249</v>
      </c>
      <c r="O252" s="387">
        <v>7034</v>
      </c>
      <c r="P252" s="509">
        <v>164754</v>
      </c>
      <c r="Q252" s="501">
        <v>68963</v>
      </c>
      <c r="R252" s="387">
        <v>6934040</v>
      </c>
      <c r="S252" s="501">
        <v>90675</v>
      </c>
      <c r="T252" s="387">
        <v>8093622</v>
      </c>
      <c r="U252" s="493">
        <v>15500</v>
      </c>
      <c r="V252" s="387">
        <v>5893156</v>
      </c>
      <c r="W252" s="493">
        <v>383850</v>
      </c>
      <c r="X252" s="493">
        <v>28611</v>
      </c>
      <c r="Y252" s="493">
        <f>2633694-O256-U252-W252-X252</f>
        <v>2133269</v>
      </c>
      <c r="Z252" s="387"/>
      <c r="AA252" s="397"/>
      <c r="AB252" s="397"/>
      <c r="AC252" s="387">
        <v>6750000</v>
      </c>
      <c r="AD252" s="387"/>
      <c r="AE252" s="387"/>
      <c r="AF252" s="385"/>
      <c r="AG252" s="389"/>
      <c r="AH252" s="23">
        <f>F264+G252+H252</f>
        <v>1094980</v>
      </c>
      <c r="AI252" s="15"/>
      <c r="AJ252" s="15"/>
      <c r="AK252" s="15"/>
      <c r="AL252" s="15"/>
    </row>
    <row r="253" spans="1:38" s="33" customFormat="1" ht="14.25">
      <c r="A253" s="390"/>
      <c r="B253" s="390"/>
      <c r="C253" s="391"/>
      <c r="D253" s="497"/>
      <c r="E253" s="388"/>
      <c r="F253" s="497"/>
      <c r="G253" s="497"/>
      <c r="H253" s="497"/>
      <c r="I253" s="389"/>
      <c r="J253" s="388"/>
      <c r="K253" s="497"/>
      <c r="L253" s="497"/>
      <c r="M253" s="388"/>
      <c r="N253" s="388"/>
      <c r="O253" s="388"/>
      <c r="P253" s="504"/>
      <c r="Q253" s="502"/>
      <c r="R253" s="388"/>
      <c r="S253" s="502"/>
      <c r="T253" s="388"/>
      <c r="U253" s="494"/>
      <c r="V253" s="388"/>
      <c r="W253" s="494"/>
      <c r="X253" s="494"/>
      <c r="Y253" s="494"/>
      <c r="Z253" s="388"/>
      <c r="AA253" s="398"/>
      <c r="AB253" s="398"/>
      <c r="AC253" s="388"/>
      <c r="AD253" s="388"/>
      <c r="AE253" s="388"/>
      <c r="AF253" s="386"/>
      <c r="AG253" s="389"/>
      <c r="AH253" s="15"/>
      <c r="AI253" s="15"/>
      <c r="AJ253" s="15"/>
      <c r="AK253" s="15"/>
      <c r="AL253" s="15"/>
    </row>
    <row r="254" spans="1:38" s="33" customFormat="1" ht="14.25">
      <c r="A254" s="396" t="s">
        <v>65</v>
      </c>
      <c r="B254" s="390" t="s">
        <v>63</v>
      </c>
      <c r="C254" s="391"/>
      <c r="D254" s="508">
        <v>45534</v>
      </c>
      <c r="E254" s="385"/>
      <c r="F254" s="389"/>
      <c r="G254" s="389"/>
      <c r="H254" s="389"/>
      <c r="I254" s="389">
        <v>45567</v>
      </c>
      <c r="J254" s="385"/>
      <c r="K254" s="389"/>
      <c r="L254" s="389"/>
      <c r="M254" s="385"/>
      <c r="N254" s="385"/>
      <c r="O254" s="491">
        <v>45765</v>
      </c>
      <c r="P254" s="385"/>
      <c r="Q254" s="385"/>
      <c r="R254" s="385">
        <v>45687</v>
      </c>
      <c r="S254" s="385"/>
      <c r="T254" s="500">
        <v>45777</v>
      </c>
      <c r="U254" s="385"/>
      <c r="V254" s="385">
        <v>45748</v>
      </c>
      <c r="W254" s="385"/>
      <c r="X254" s="385"/>
      <c r="Y254" s="385"/>
      <c r="Z254" s="385"/>
      <c r="AA254" s="385"/>
      <c r="AB254" s="385"/>
      <c r="AC254" s="385"/>
      <c r="AD254" s="385"/>
      <c r="AE254" s="403"/>
      <c r="AF254" s="387"/>
      <c r="AG254" s="389"/>
      <c r="AH254" s="15"/>
      <c r="AI254" s="15"/>
      <c r="AJ254" s="15"/>
      <c r="AK254" s="15"/>
      <c r="AL254" s="15"/>
    </row>
    <row r="255" spans="1:38" s="33" customFormat="1" ht="14.25">
      <c r="A255" s="390"/>
      <c r="B255" s="390"/>
      <c r="C255" s="391"/>
      <c r="D255" s="508"/>
      <c r="E255" s="386"/>
      <c r="F255" s="389"/>
      <c r="G255" s="389"/>
      <c r="H255" s="389"/>
      <c r="I255" s="389"/>
      <c r="J255" s="386"/>
      <c r="K255" s="389"/>
      <c r="L255" s="389"/>
      <c r="M255" s="386"/>
      <c r="N255" s="386"/>
      <c r="O255" s="492"/>
      <c r="P255" s="386"/>
      <c r="Q255" s="386"/>
      <c r="R255" s="386"/>
      <c r="S255" s="386"/>
      <c r="T255" s="499"/>
      <c r="U255" s="386"/>
      <c r="V255" s="386"/>
      <c r="W255" s="386"/>
      <c r="X255" s="386"/>
      <c r="Y255" s="386"/>
      <c r="Z255" s="386"/>
      <c r="AA255" s="386"/>
      <c r="AB255" s="386"/>
      <c r="AC255" s="386"/>
      <c r="AD255" s="386"/>
      <c r="AE255" s="404"/>
      <c r="AF255" s="388"/>
      <c r="AG255" s="389"/>
      <c r="AH255" s="15"/>
      <c r="AI255" s="15"/>
      <c r="AJ255" s="15"/>
      <c r="AK255" s="15"/>
      <c r="AL255" s="15"/>
    </row>
    <row r="256" spans="1:38" s="33" customFormat="1" ht="14.25">
      <c r="A256" s="390"/>
      <c r="B256" s="390" t="s">
        <v>64</v>
      </c>
      <c r="C256" s="391"/>
      <c r="D256" s="507">
        <v>3797106</v>
      </c>
      <c r="E256" s="387"/>
      <c r="F256" s="497"/>
      <c r="G256" s="497"/>
      <c r="H256" s="497"/>
      <c r="I256" s="497">
        <f>8000000-D260</f>
        <v>267715</v>
      </c>
      <c r="J256" s="385"/>
      <c r="K256" s="497"/>
      <c r="L256" s="497"/>
      <c r="M256" s="387"/>
      <c r="N256" s="385"/>
      <c r="O256" s="493">
        <v>72464</v>
      </c>
      <c r="P256" s="387"/>
      <c r="Q256" s="387"/>
      <c r="R256" s="387">
        <v>5500000</v>
      </c>
      <c r="S256" s="387"/>
      <c r="T256" s="505">
        <f>4500000-R264</f>
        <v>2885613</v>
      </c>
      <c r="U256" s="385"/>
      <c r="V256" s="387">
        <v>3000000</v>
      </c>
      <c r="W256" s="387"/>
      <c r="X256" s="387"/>
      <c r="Y256" s="387"/>
      <c r="Z256" s="399"/>
      <c r="AA256" s="387"/>
      <c r="AB256" s="387"/>
      <c r="AC256" s="385"/>
      <c r="AD256" s="387"/>
      <c r="AE256" s="387"/>
      <c r="AF256" s="387"/>
      <c r="AG256" s="389"/>
      <c r="AH256" s="15"/>
      <c r="AI256" s="15"/>
      <c r="AJ256" s="15"/>
      <c r="AK256" s="15"/>
      <c r="AL256" s="15"/>
    </row>
    <row r="257" spans="1:38" s="33" customFormat="1" ht="14.25">
      <c r="A257" s="390"/>
      <c r="B257" s="390"/>
      <c r="C257" s="391"/>
      <c r="D257" s="507"/>
      <c r="E257" s="388"/>
      <c r="F257" s="497"/>
      <c r="G257" s="497"/>
      <c r="H257" s="497"/>
      <c r="I257" s="497"/>
      <c r="J257" s="386"/>
      <c r="K257" s="497"/>
      <c r="L257" s="497"/>
      <c r="M257" s="388"/>
      <c r="N257" s="386"/>
      <c r="O257" s="494"/>
      <c r="P257" s="388"/>
      <c r="Q257" s="388"/>
      <c r="R257" s="388"/>
      <c r="S257" s="388"/>
      <c r="T257" s="506"/>
      <c r="U257" s="386"/>
      <c r="V257" s="388"/>
      <c r="W257" s="388"/>
      <c r="X257" s="388"/>
      <c r="Y257" s="388"/>
      <c r="Z257" s="400"/>
      <c r="AA257" s="388"/>
      <c r="AB257" s="388"/>
      <c r="AC257" s="386"/>
      <c r="AD257" s="388"/>
      <c r="AE257" s="388"/>
      <c r="AF257" s="388"/>
      <c r="AG257" s="389"/>
      <c r="AH257" s="15"/>
      <c r="AI257" s="15"/>
      <c r="AJ257" s="15"/>
      <c r="AK257" s="15"/>
      <c r="AL257" s="15"/>
    </row>
    <row r="258" spans="1:38" s="33" customFormat="1" ht="14.25">
      <c r="A258" s="396" t="s">
        <v>66</v>
      </c>
      <c r="B258" s="390" t="s">
        <v>63</v>
      </c>
      <c r="C258" s="391"/>
      <c r="D258" s="389">
        <v>45567</v>
      </c>
      <c r="E258" s="385"/>
      <c r="F258" s="389"/>
      <c r="G258" s="389"/>
      <c r="H258" s="389"/>
      <c r="I258" s="389">
        <v>45601</v>
      </c>
      <c r="J258" s="385"/>
      <c r="K258" s="389"/>
      <c r="L258" s="389"/>
      <c r="M258" s="385"/>
      <c r="N258" s="385"/>
      <c r="O258" s="385"/>
      <c r="P258" s="385"/>
      <c r="Q258" s="385"/>
      <c r="R258" s="503">
        <v>45729</v>
      </c>
      <c r="S258" s="385"/>
      <c r="T258" s="385">
        <v>45806</v>
      </c>
      <c r="U258" s="385"/>
      <c r="V258" s="385"/>
      <c r="W258" s="385"/>
      <c r="X258" s="385"/>
      <c r="Y258" s="385"/>
      <c r="Z258" s="387"/>
      <c r="AA258" s="385"/>
      <c r="AB258" s="385"/>
      <c r="AC258" s="385"/>
      <c r="AD258" s="385"/>
      <c r="AE258" s="387"/>
      <c r="AF258" s="387"/>
      <c r="AG258" s="389"/>
      <c r="AH258" s="15"/>
      <c r="AI258" s="15"/>
      <c r="AJ258" s="15"/>
      <c r="AK258" s="15"/>
      <c r="AL258" s="15"/>
    </row>
    <row r="259" spans="1:38" s="33" customFormat="1" ht="14.25">
      <c r="A259" s="390"/>
      <c r="B259" s="390"/>
      <c r="C259" s="391"/>
      <c r="D259" s="389"/>
      <c r="E259" s="386"/>
      <c r="F259" s="389"/>
      <c r="G259" s="389"/>
      <c r="H259" s="389"/>
      <c r="I259" s="389"/>
      <c r="J259" s="386"/>
      <c r="K259" s="389"/>
      <c r="L259" s="389"/>
      <c r="M259" s="386"/>
      <c r="N259" s="386"/>
      <c r="O259" s="386"/>
      <c r="P259" s="386"/>
      <c r="Q259" s="386"/>
      <c r="R259" s="504"/>
      <c r="S259" s="386"/>
      <c r="T259" s="386"/>
      <c r="U259" s="386"/>
      <c r="V259" s="386"/>
      <c r="W259" s="386"/>
      <c r="X259" s="386"/>
      <c r="Y259" s="386"/>
      <c r="Z259" s="388"/>
      <c r="AA259" s="386"/>
      <c r="AB259" s="386"/>
      <c r="AC259" s="386"/>
      <c r="AD259" s="386"/>
      <c r="AE259" s="388"/>
      <c r="AF259" s="388"/>
      <c r="AG259" s="389"/>
      <c r="AH259" s="15"/>
      <c r="AI259" s="15"/>
      <c r="AJ259" s="15"/>
      <c r="AK259" s="15"/>
      <c r="AL259" s="15"/>
    </row>
    <row r="260" spans="1:38" s="33" customFormat="1" ht="14.25">
      <c r="A260" s="390"/>
      <c r="B260" s="390" t="s">
        <v>64</v>
      </c>
      <c r="C260" s="391"/>
      <c r="D260" s="497">
        <v>7732285</v>
      </c>
      <c r="E260" s="385"/>
      <c r="F260" s="497"/>
      <c r="G260" s="383"/>
      <c r="H260" s="497"/>
      <c r="I260" s="497" t="e">
        <f>6000000-'R&amp;C'!G242-E252-F252-G252-H252</f>
        <v>#REF!</v>
      </c>
      <c r="J260" s="385"/>
      <c r="K260" s="497"/>
      <c r="L260" s="497"/>
      <c r="M260" s="387"/>
      <c r="N260" s="385"/>
      <c r="O260" s="387"/>
      <c r="P260" s="387"/>
      <c r="Q260" s="387"/>
      <c r="R260" s="501">
        <f>3000000-P252-Q252-S252</f>
        <v>2675608</v>
      </c>
      <c r="S260" s="397"/>
      <c r="T260" s="397">
        <v>5000000</v>
      </c>
      <c r="U260" s="385"/>
      <c r="V260" s="385"/>
      <c r="W260" s="387"/>
      <c r="X260" s="387"/>
      <c r="Y260" s="387"/>
      <c r="Z260" s="385"/>
      <c r="AA260" s="385"/>
      <c r="AB260" s="385"/>
      <c r="AC260" s="385"/>
      <c r="AD260" s="387"/>
      <c r="AE260" s="387"/>
      <c r="AF260" s="387"/>
      <c r="AG260" s="389"/>
      <c r="AH260" s="15"/>
      <c r="AI260" s="15"/>
      <c r="AJ260" s="15"/>
      <c r="AK260" s="15"/>
      <c r="AL260" s="15"/>
    </row>
    <row r="261" spans="1:38" s="33" customFormat="1" ht="14.25">
      <c r="A261" s="390"/>
      <c r="B261" s="390"/>
      <c r="C261" s="391"/>
      <c r="D261" s="497"/>
      <c r="E261" s="386"/>
      <c r="F261" s="497"/>
      <c r="G261" s="389"/>
      <c r="H261" s="497"/>
      <c r="I261" s="497"/>
      <c r="J261" s="386"/>
      <c r="K261" s="497"/>
      <c r="L261" s="497"/>
      <c r="M261" s="388"/>
      <c r="N261" s="386"/>
      <c r="O261" s="388"/>
      <c r="P261" s="388"/>
      <c r="Q261" s="388"/>
      <c r="R261" s="502"/>
      <c r="S261" s="398"/>
      <c r="T261" s="398"/>
      <c r="U261" s="386"/>
      <c r="V261" s="386"/>
      <c r="W261" s="388"/>
      <c r="X261" s="388"/>
      <c r="Y261" s="388"/>
      <c r="Z261" s="386"/>
      <c r="AA261" s="386"/>
      <c r="AB261" s="386"/>
      <c r="AC261" s="386"/>
      <c r="AD261" s="388"/>
      <c r="AE261" s="388"/>
      <c r="AF261" s="388"/>
      <c r="AG261" s="389"/>
      <c r="AH261" s="15"/>
      <c r="AI261" s="15"/>
      <c r="AJ261" s="15"/>
      <c r="AK261" s="15"/>
      <c r="AL261" s="15"/>
    </row>
    <row r="262" spans="1:38" s="33" customFormat="1" ht="13.5" customHeight="1">
      <c r="A262" s="396" t="s">
        <v>67</v>
      </c>
      <c r="B262" s="390" t="s">
        <v>63</v>
      </c>
      <c r="C262" s="391"/>
      <c r="D262" s="389"/>
      <c r="E262" s="385"/>
      <c r="F262" s="389"/>
      <c r="G262" s="389"/>
      <c r="H262" s="389"/>
      <c r="I262" s="389">
        <v>45628</v>
      </c>
      <c r="J262" s="385"/>
      <c r="K262" s="389"/>
      <c r="L262" s="389"/>
      <c r="M262" s="385"/>
      <c r="N262" s="385"/>
      <c r="O262" s="385"/>
      <c r="P262" s="385"/>
      <c r="Q262" s="385"/>
      <c r="R262" s="500">
        <v>45777</v>
      </c>
      <c r="S262" s="385"/>
      <c r="T262" s="385"/>
      <c r="U262" s="385"/>
      <c r="V262" s="385"/>
      <c r="W262" s="385"/>
      <c r="X262" s="385"/>
      <c r="Y262" s="385"/>
      <c r="Z262" s="385"/>
      <c r="AA262" s="385"/>
      <c r="AB262" s="385"/>
      <c r="AC262" s="385"/>
      <c r="AD262" s="385"/>
      <c r="AE262" s="387"/>
      <c r="AF262" s="387"/>
      <c r="AG262" s="389"/>
      <c r="AH262" s="15"/>
      <c r="AI262" s="15"/>
      <c r="AJ262" s="15"/>
      <c r="AK262" s="15"/>
      <c r="AL262" s="15"/>
    </row>
    <row r="263" spans="1:38" s="33" customFormat="1" ht="13.5" customHeight="1">
      <c r="A263" s="390"/>
      <c r="B263" s="390"/>
      <c r="C263" s="391"/>
      <c r="D263" s="389"/>
      <c r="E263" s="386"/>
      <c r="F263" s="389"/>
      <c r="G263" s="389"/>
      <c r="H263" s="389"/>
      <c r="I263" s="389"/>
      <c r="J263" s="386"/>
      <c r="K263" s="389"/>
      <c r="L263" s="389"/>
      <c r="M263" s="386"/>
      <c r="N263" s="386"/>
      <c r="O263" s="386"/>
      <c r="P263" s="386"/>
      <c r="Q263" s="386"/>
      <c r="R263" s="499"/>
      <c r="S263" s="386"/>
      <c r="T263" s="386"/>
      <c r="U263" s="386"/>
      <c r="V263" s="386"/>
      <c r="W263" s="386"/>
      <c r="X263" s="386"/>
      <c r="Y263" s="386"/>
      <c r="Z263" s="386"/>
      <c r="AA263" s="386"/>
      <c r="AB263" s="386"/>
      <c r="AC263" s="386"/>
      <c r="AD263" s="386"/>
      <c r="AE263" s="388"/>
      <c r="AF263" s="388"/>
      <c r="AG263" s="389"/>
      <c r="AH263" s="15"/>
      <c r="AI263" s="15"/>
      <c r="AJ263" s="15"/>
      <c r="AK263" s="15"/>
      <c r="AL263" s="15"/>
    </row>
    <row r="264" spans="1:38" s="33" customFormat="1" ht="13.5" customHeight="1">
      <c r="A264" s="390"/>
      <c r="B264" s="390" t="s">
        <v>64</v>
      </c>
      <c r="C264" s="391"/>
      <c r="D264" s="389"/>
      <c r="E264" s="385"/>
      <c r="F264" s="497"/>
      <c r="G264" s="383"/>
      <c r="H264" s="389"/>
      <c r="I264" s="497">
        <v>5500000</v>
      </c>
      <c r="J264" s="385"/>
      <c r="K264" s="497"/>
      <c r="L264" s="389"/>
      <c r="M264" s="387"/>
      <c r="N264" s="385"/>
      <c r="O264" s="387"/>
      <c r="P264" s="387"/>
      <c r="Q264" s="385"/>
      <c r="R264" s="498">
        <v>1614387</v>
      </c>
      <c r="S264" s="387"/>
      <c r="T264" s="387"/>
      <c r="U264" s="385"/>
      <c r="V264" s="385"/>
      <c r="W264" s="385"/>
      <c r="X264" s="385"/>
      <c r="Y264" s="385"/>
      <c r="Z264" s="385"/>
      <c r="AA264" s="385"/>
      <c r="AB264" s="385"/>
      <c r="AC264" s="385"/>
      <c r="AD264" s="387"/>
      <c r="AE264" s="387"/>
      <c r="AF264" s="387"/>
      <c r="AG264" s="389"/>
      <c r="AH264" s="15"/>
      <c r="AI264" s="15"/>
      <c r="AJ264" s="15"/>
      <c r="AK264" s="15"/>
      <c r="AL264" s="15"/>
    </row>
    <row r="265" spans="1:38" s="33" customFormat="1" ht="13.5" customHeight="1">
      <c r="A265" s="390"/>
      <c r="B265" s="390"/>
      <c r="C265" s="391"/>
      <c r="D265" s="389"/>
      <c r="E265" s="386"/>
      <c r="F265" s="497"/>
      <c r="G265" s="389"/>
      <c r="H265" s="389"/>
      <c r="I265" s="497"/>
      <c r="J265" s="386"/>
      <c r="K265" s="497"/>
      <c r="L265" s="389"/>
      <c r="M265" s="388"/>
      <c r="N265" s="386"/>
      <c r="O265" s="388"/>
      <c r="P265" s="388"/>
      <c r="Q265" s="386"/>
      <c r="R265" s="499"/>
      <c r="S265" s="388"/>
      <c r="T265" s="388"/>
      <c r="U265" s="386"/>
      <c r="V265" s="386"/>
      <c r="W265" s="386"/>
      <c r="X265" s="386"/>
      <c r="Y265" s="386"/>
      <c r="Z265" s="386"/>
      <c r="AA265" s="386"/>
      <c r="AB265" s="386"/>
      <c r="AC265" s="386"/>
      <c r="AD265" s="388"/>
      <c r="AE265" s="388"/>
      <c r="AF265" s="388"/>
      <c r="AG265" s="389"/>
      <c r="AH265" s="15"/>
      <c r="AI265" s="15"/>
      <c r="AJ265" s="15"/>
      <c r="AK265" s="15"/>
      <c r="AL265" s="15"/>
    </row>
    <row r="266" spans="1:38" s="33" customFormat="1" ht="13.5" customHeight="1">
      <c r="A266" s="396" t="s">
        <v>68</v>
      </c>
      <c r="B266" s="390" t="s">
        <v>63</v>
      </c>
      <c r="C266" s="391"/>
      <c r="D266" s="389"/>
      <c r="E266" s="385"/>
      <c r="F266" s="389"/>
      <c r="G266" s="389"/>
      <c r="H266" s="389"/>
      <c r="I266" s="389">
        <v>45307</v>
      </c>
      <c r="J266" s="385"/>
      <c r="K266" s="389"/>
      <c r="L266" s="389"/>
      <c r="M266" s="385"/>
      <c r="N266" s="385"/>
      <c r="O266" s="385"/>
      <c r="P266" s="385"/>
      <c r="Q266" s="385"/>
      <c r="R266" s="385"/>
      <c r="S266" s="385"/>
      <c r="T266" s="385"/>
      <c r="U266" s="385"/>
      <c r="V266" s="385"/>
      <c r="W266" s="385"/>
      <c r="X266" s="385"/>
      <c r="Y266" s="385"/>
      <c r="Z266" s="385"/>
      <c r="AA266" s="385"/>
      <c r="AB266" s="385"/>
      <c r="AC266" s="385"/>
      <c r="AD266" s="385"/>
      <c r="AE266" s="387"/>
      <c r="AF266" s="387"/>
      <c r="AG266" s="389"/>
      <c r="AH266" s="15"/>
      <c r="AI266" s="15"/>
      <c r="AJ266" s="15"/>
      <c r="AK266" s="15"/>
      <c r="AL266" s="15"/>
    </row>
    <row r="267" spans="1:38" s="33" customFormat="1" ht="13.5" customHeight="1">
      <c r="A267" s="390"/>
      <c r="B267" s="390"/>
      <c r="C267" s="391"/>
      <c r="D267" s="389"/>
      <c r="E267" s="386"/>
      <c r="F267" s="389"/>
      <c r="G267" s="389"/>
      <c r="H267" s="389"/>
      <c r="I267" s="389"/>
      <c r="J267" s="386"/>
      <c r="K267" s="389"/>
      <c r="L267" s="389"/>
      <c r="M267" s="386"/>
      <c r="N267" s="386"/>
      <c r="O267" s="386"/>
      <c r="P267" s="386"/>
      <c r="Q267" s="386"/>
      <c r="R267" s="386"/>
      <c r="S267" s="386"/>
      <c r="T267" s="386"/>
      <c r="U267" s="386"/>
      <c r="V267" s="386"/>
      <c r="W267" s="386"/>
      <c r="X267" s="386"/>
      <c r="Y267" s="386"/>
      <c r="Z267" s="386"/>
      <c r="AA267" s="386"/>
      <c r="AB267" s="386"/>
      <c r="AC267" s="386"/>
      <c r="AD267" s="386"/>
      <c r="AE267" s="388"/>
      <c r="AF267" s="388"/>
      <c r="AG267" s="389"/>
      <c r="AH267" s="15"/>
      <c r="AI267" s="15"/>
      <c r="AJ267" s="15"/>
      <c r="AK267" s="15"/>
      <c r="AL267" s="15"/>
    </row>
    <row r="268" spans="1:38" s="33" customFormat="1" ht="13.5" customHeight="1">
      <c r="A268" s="390"/>
      <c r="B268" s="390" t="s">
        <v>64</v>
      </c>
      <c r="C268" s="391"/>
      <c r="D268" s="389"/>
      <c r="E268" s="385"/>
      <c r="F268" s="497"/>
      <c r="G268" s="383"/>
      <c r="H268" s="389"/>
      <c r="I268" s="497">
        <v>5068626</v>
      </c>
      <c r="J268" s="385"/>
      <c r="K268" s="497"/>
      <c r="L268" s="389"/>
      <c r="M268" s="385"/>
      <c r="N268" s="385"/>
      <c r="O268" s="385"/>
      <c r="P268" s="387"/>
      <c r="Q268" s="385"/>
      <c r="R268" s="385"/>
      <c r="S268" s="385"/>
      <c r="T268" s="385"/>
      <c r="U268" s="385"/>
      <c r="V268" s="385"/>
      <c r="W268" s="385"/>
      <c r="X268" s="385"/>
      <c r="Y268" s="385"/>
      <c r="Z268" s="385"/>
      <c r="AA268" s="385"/>
      <c r="AB268" s="385"/>
      <c r="AC268" s="385"/>
      <c r="AD268" s="385"/>
      <c r="AE268" s="387"/>
      <c r="AF268" s="387"/>
      <c r="AG268" s="389"/>
      <c r="AH268" s="15"/>
      <c r="AI268" s="15"/>
      <c r="AJ268" s="15"/>
      <c r="AK268" s="15"/>
      <c r="AL268" s="15"/>
    </row>
    <row r="269" spans="1:38" s="33" customFormat="1" ht="13.5" customHeight="1">
      <c r="A269" s="390"/>
      <c r="B269" s="390"/>
      <c r="C269" s="391"/>
      <c r="D269" s="389"/>
      <c r="E269" s="386"/>
      <c r="F269" s="497"/>
      <c r="G269" s="389"/>
      <c r="H269" s="389"/>
      <c r="I269" s="497"/>
      <c r="J269" s="386"/>
      <c r="K269" s="497"/>
      <c r="L269" s="389"/>
      <c r="M269" s="386"/>
      <c r="N269" s="386"/>
      <c r="O269" s="386"/>
      <c r="P269" s="388"/>
      <c r="Q269" s="386"/>
      <c r="R269" s="386"/>
      <c r="S269" s="386"/>
      <c r="T269" s="386"/>
      <c r="U269" s="386"/>
      <c r="V269" s="386"/>
      <c r="W269" s="386"/>
      <c r="X269" s="386"/>
      <c r="Y269" s="386"/>
      <c r="Z269" s="386"/>
      <c r="AA269" s="386"/>
      <c r="AB269" s="386"/>
      <c r="AC269" s="386"/>
      <c r="AD269" s="386"/>
      <c r="AE269" s="388"/>
      <c r="AF269" s="388"/>
      <c r="AG269" s="389"/>
      <c r="AH269" s="15"/>
      <c r="AI269" s="15"/>
      <c r="AJ269" s="15"/>
      <c r="AK269" s="15"/>
      <c r="AL269" s="15"/>
    </row>
    <row r="270" spans="1:38" s="33" customFormat="1" ht="13.5" hidden="1" customHeight="1">
      <c r="A270" s="396" t="s">
        <v>69</v>
      </c>
      <c r="B270" s="390" t="s">
        <v>63</v>
      </c>
      <c r="C270" s="391"/>
      <c r="D270" s="389"/>
      <c r="E270" s="385"/>
      <c r="F270" s="389"/>
      <c r="G270" s="389"/>
      <c r="H270" s="389"/>
      <c r="I270" s="389"/>
      <c r="J270" s="385"/>
      <c r="K270" s="389"/>
      <c r="L270" s="389"/>
      <c r="M270" s="385"/>
      <c r="N270" s="298"/>
      <c r="O270" s="385"/>
      <c r="P270" s="385"/>
      <c r="Q270" s="385"/>
      <c r="R270" s="385"/>
      <c r="S270" s="385"/>
      <c r="T270" s="385"/>
      <c r="U270" s="385"/>
      <c r="V270" s="385"/>
      <c r="W270" s="385"/>
      <c r="X270" s="385"/>
      <c r="Y270" s="385"/>
      <c r="Z270" s="385"/>
      <c r="AA270" s="385"/>
      <c r="AB270" s="385"/>
      <c r="AC270" s="385"/>
      <c r="AD270" s="385"/>
      <c r="AE270" s="387"/>
      <c r="AF270" s="387"/>
      <c r="AG270" s="389"/>
      <c r="AH270" s="15"/>
      <c r="AI270" s="15"/>
      <c r="AJ270" s="15"/>
      <c r="AK270" s="15"/>
      <c r="AL270" s="15"/>
    </row>
    <row r="271" spans="1:38" s="33" customFormat="1" ht="13.5" hidden="1" customHeight="1">
      <c r="A271" s="390"/>
      <c r="B271" s="390"/>
      <c r="C271" s="391"/>
      <c r="D271" s="389"/>
      <c r="E271" s="386"/>
      <c r="F271" s="389"/>
      <c r="G271" s="389"/>
      <c r="H271" s="389"/>
      <c r="I271" s="389"/>
      <c r="J271" s="386"/>
      <c r="K271" s="389"/>
      <c r="L271" s="389"/>
      <c r="M271" s="386"/>
      <c r="N271" s="297"/>
      <c r="O271" s="386"/>
      <c r="P271" s="386"/>
      <c r="Q271" s="386"/>
      <c r="R271" s="386"/>
      <c r="S271" s="386"/>
      <c r="T271" s="386"/>
      <c r="U271" s="386"/>
      <c r="V271" s="386"/>
      <c r="W271" s="386"/>
      <c r="X271" s="386"/>
      <c r="Y271" s="386"/>
      <c r="Z271" s="386"/>
      <c r="AA271" s="386"/>
      <c r="AB271" s="386"/>
      <c r="AC271" s="386"/>
      <c r="AD271" s="386"/>
      <c r="AE271" s="388"/>
      <c r="AF271" s="388"/>
      <c r="AG271" s="389"/>
      <c r="AH271" s="15"/>
      <c r="AI271" s="15"/>
      <c r="AJ271" s="15"/>
      <c r="AK271" s="15"/>
      <c r="AL271" s="15"/>
    </row>
    <row r="272" spans="1:38" s="33" customFormat="1" ht="13.5" hidden="1" customHeight="1">
      <c r="A272" s="390"/>
      <c r="B272" s="390" t="s">
        <v>64</v>
      </c>
      <c r="C272" s="391"/>
      <c r="D272" s="389"/>
      <c r="E272" s="385"/>
      <c r="F272" s="389"/>
      <c r="G272" s="497"/>
      <c r="H272" s="389"/>
      <c r="I272" s="389"/>
      <c r="J272" s="385"/>
      <c r="K272" s="497"/>
      <c r="L272" s="389"/>
      <c r="M272" s="385"/>
      <c r="N272" s="298"/>
      <c r="O272" s="385"/>
      <c r="P272" s="387"/>
      <c r="Q272" s="385"/>
      <c r="R272" s="385"/>
      <c r="S272" s="385"/>
      <c r="T272" s="385"/>
      <c r="U272" s="385"/>
      <c r="V272" s="385"/>
      <c r="W272" s="385"/>
      <c r="X272" s="385"/>
      <c r="Y272" s="385"/>
      <c r="Z272" s="385"/>
      <c r="AA272" s="385"/>
      <c r="AB272" s="385"/>
      <c r="AC272" s="385"/>
      <c r="AD272" s="385"/>
      <c r="AE272" s="387"/>
      <c r="AF272" s="387"/>
      <c r="AG272" s="389"/>
      <c r="AH272" s="15"/>
      <c r="AI272" s="15"/>
      <c r="AJ272" s="15"/>
      <c r="AK272" s="15"/>
      <c r="AL272" s="15"/>
    </row>
    <row r="273" spans="1:38" s="33" customFormat="1" ht="13.5" hidden="1" customHeight="1">
      <c r="A273" s="390"/>
      <c r="B273" s="390"/>
      <c r="C273" s="391"/>
      <c r="D273" s="389"/>
      <c r="E273" s="386"/>
      <c r="F273" s="389"/>
      <c r="G273" s="497"/>
      <c r="H273" s="389"/>
      <c r="I273" s="389"/>
      <c r="J273" s="386"/>
      <c r="K273" s="497"/>
      <c r="L273" s="389"/>
      <c r="M273" s="386"/>
      <c r="N273" s="297"/>
      <c r="O273" s="386"/>
      <c r="P273" s="388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86"/>
      <c r="AB273" s="386"/>
      <c r="AC273" s="386"/>
      <c r="AD273" s="386"/>
      <c r="AE273" s="388"/>
      <c r="AF273" s="388"/>
      <c r="AG273" s="389"/>
      <c r="AH273" s="15"/>
      <c r="AI273" s="15"/>
      <c r="AJ273" s="15"/>
      <c r="AK273" s="15"/>
      <c r="AL273" s="15"/>
    </row>
    <row r="274" spans="1:38" s="33" customFormat="1" ht="13.5" hidden="1" customHeight="1">
      <c r="A274" s="396" t="s">
        <v>69</v>
      </c>
      <c r="B274" s="390" t="s">
        <v>63</v>
      </c>
      <c r="C274" s="391"/>
      <c r="D274" s="389"/>
      <c r="E274" s="385"/>
      <c r="F274" s="389"/>
      <c r="G274" s="389"/>
      <c r="H274" s="389"/>
      <c r="I274" s="389"/>
      <c r="J274" s="385"/>
      <c r="K274" s="389"/>
      <c r="L274" s="389"/>
      <c r="M274" s="385"/>
      <c r="N274" s="298"/>
      <c r="O274" s="385"/>
      <c r="P274" s="385"/>
      <c r="Q274" s="385"/>
      <c r="R274" s="385"/>
      <c r="S274" s="385"/>
      <c r="T274" s="385"/>
      <c r="U274" s="385"/>
      <c r="V274" s="385"/>
      <c r="W274" s="385"/>
      <c r="X274" s="385"/>
      <c r="Y274" s="385"/>
      <c r="Z274" s="385"/>
      <c r="AA274" s="385"/>
      <c r="AB274" s="385"/>
      <c r="AC274" s="385"/>
      <c r="AD274" s="385"/>
      <c r="AE274" s="387"/>
      <c r="AF274" s="387"/>
      <c r="AG274" s="389"/>
      <c r="AH274" s="15"/>
      <c r="AI274" s="15"/>
      <c r="AJ274" s="15"/>
      <c r="AK274" s="15"/>
      <c r="AL274" s="15"/>
    </row>
    <row r="275" spans="1:38" s="33" customFormat="1" ht="13.5" hidden="1" customHeight="1">
      <c r="A275" s="390"/>
      <c r="B275" s="390"/>
      <c r="C275" s="391"/>
      <c r="D275" s="389"/>
      <c r="E275" s="386"/>
      <c r="F275" s="389"/>
      <c r="G275" s="389"/>
      <c r="H275" s="389"/>
      <c r="I275" s="389"/>
      <c r="J275" s="386"/>
      <c r="K275" s="389"/>
      <c r="L275" s="389"/>
      <c r="M275" s="386"/>
      <c r="N275" s="297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386"/>
      <c r="Z275" s="386"/>
      <c r="AA275" s="386"/>
      <c r="AB275" s="386"/>
      <c r="AC275" s="386"/>
      <c r="AD275" s="386"/>
      <c r="AE275" s="388"/>
      <c r="AF275" s="388"/>
      <c r="AG275" s="389"/>
      <c r="AH275" s="15"/>
      <c r="AI275" s="15"/>
      <c r="AJ275" s="15"/>
      <c r="AK275" s="15"/>
      <c r="AL275" s="15"/>
    </row>
    <row r="276" spans="1:38" s="33" customFormat="1" ht="13.5" hidden="1" customHeight="1">
      <c r="A276" s="390"/>
      <c r="B276" s="390" t="s">
        <v>64</v>
      </c>
      <c r="C276" s="391"/>
      <c r="D276" s="497"/>
      <c r="E276" s="385"/>
      <c r="F276" s="497"/>
      <c r="G276" s="389"/>
      <c r="H276" s="389"/>
      <c r="I276" s="389"/>
      <c r="J276" s="385"/>
      <c r="K276" s="497"/>
      <c r="L276" s="389"/>
      <c r="M276" s="385"/>
      <c r="N276" s="298"/>
      <c r="O276" s="385"/>
      <c r="P276" s="387"/>
      <c r="Q276" s="385"/>
      <c r="R276" s="385"/>
      <c r="S276" s="385"/>
      <c r="T276" s="385"/>
      <c r="U276" s="385"/>
      <c r="V276" s="385"/>
      <c r="W276" s="385"/>
      <c r="X276" s="385"/>
      <c r="Y276" s="385"/>
      <c r="Z276" s="385"/>
      <c r="AA276" s="385"/>
      <c r="AB276" s="385"/>
      <c r="AC276" s="385"/>
      <c r="AD276" s="385"/>
      <c r="AE276" s="387"/>
      <c r="AF276" s="387"/>
      <c r="AG276" s="389"/>
      <c r="AH276" s="15"/>
      <c r="AI276" s="15"/>
      <c r="AJ276" s="15"/>
      <c r="AK276" s="15"/>
      <c r="AL276" s="15"/>
    </row>
    <row r="277" spans="1:38" s="33" customFormat="1" ht="13.5" hidden="1" customHeight="1">
      <c r="A277" s="390"/>
      <c r="B277" s="390"/>
      <c r="C277" s="391"/>
      <c r="D277" s="497"/>
      <c r="E277" s="386"/>
      <c r="F277" s="497"/>
      <c r="G277" s="389"/>
      <c r="H277" s="389"/>
      <c r="I277" s="389"/>
      <c r="J277" s="386"/>
      <c r="K277" s="497"/>
      <c r="L277" s="389"/>
      <c r="M277" s="386"/>
      <c r="N277" s="297"/>
      <c r="O277" s="386"/>
      <c r="P277" s="388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86"/>
      <c r="AB277" s="386"/>
      <c r="AC277" s="386"/>
      <c r="AD277" s="386"/>
      <c r="AE277" s="388"/>
      <c r="AF277" s="388"/>
      <c r="AG277" s="389"/>
      <c r="AH277" s="15"/>
      <c r="AI277" s="15"/>
      <c r="AJ277" s="15"/>
      <c r="AK277" s="15"/>
      <c r="AL277" s="15"/>
    </row>
    <row r="278" spans="1:38" s="33" customFormat="1" ht="13.5" hidden="1" customHeight="1">
      <c r="A278" s="396" t="s">
        <v>70</v>
      </c>
      <c r="B278" s="390" t="s">
        <v>63</v>
      </c>
      <c r="C278" s="391"/>
      <c r="D278" s="497"/>
      <c r="E278" s="385"/>
      <c r="F278" s="497"/>
      <c r="G278" s="389"/>
      <c r="H278" s="389"/>
      <c r="I278" s="389"/>
      <c r="J278" s="385"/>
      <c r="K278" s="389"/>
      <c r="L278" s="389"/>
      <c r="M278" s="385"/>
      <c r="N278" s="298"/>
      <c r="O278" s="385"/>
      <c r="P278" s="385"/>
      <c r="Q278" s="385"/>
      <c r="R278" s="298"/>
      <c r="S278" s="385"/>
      <c r="T278" s="298"/>
      <c r="U278" s="385"/>
      <c r="V278" s="385"/>
      <c r="W278" s="385"/>
      <c r="X278" s="385"/>
      <c r="Y278" s="385"/>
      <c r="Z278" s="385"/>
      <c r="AA278" s="385"/>
      <c r="AB278" s="385"/>
      <c r="AC278" s="385"/>
      <c r="AD278" s="385"/>
      <c r="AE278" s="387"/>
      <c r="AF278" s="387"/>
      <c r="AG278" s="389"/>
      <c r="AH278" s="15"/>
      <c r="AI278" s="15"/>
      <c r="AJ278" s="15"/>
      <c r="AK278" s="15"/>
      <c r="AL278" s="15"/>
    </row>
    <row r="279" spans="1:38" s="33" customFormat="1" ht="13.5" hidden="1" customHeight="1">
      <c r="A279" s="390"/>
      <c r="B279" s="390"/>
      <c r="C279" s="391"/>
      <c r="D279" s="497"/>
      <c r="E279" s="386"/>
      <c r="F279" s="497"/>
      <c r="G279" s="389"/>
      <c r="H279" s="389"/>
      <c r="I279" s="389"/>
      <c r="J279" s="386"/>
      <c r="K279" s="389"/>
      <c r="L279" s="389"/>
      <c r="M279" s="386"/>
      <c r="N279" s="297"/>
      <c r="O279" s="386"/>
      <c r="P279" s="386"/>
      <c r="Q279" s="386"/>
      <c r="R279" s="297"/>
      <c r="S279" s="386"/>
      <c r="T279" s="297"/>
      <c r="U279" s="386"/>
      <c r="V279" s="386"/>
      <c r="W279" s="386"/>
      <c r="X279" s="386"/>
      <c r="Y279" s="386"/>
      <c r="Z279" s="386"/>
      <c r="AA279" s="386"/>
      <c r="AB279" s="386"/>
      <c r="AC279" s="386"/>
      <c r="AD279" s="386"/>
      <c r="AE279" s="388"/>
      <c r="AF279" s="388"/>
      <c r="AG279" s="389"/>
      <c r="AH279" s="15"/>
      <c r="AI279" s="15"/>
      <c r="AJ279" s="15"/>
      <c r="AK279" s="15"/>
      <c r="AL279" s="15"/>
    </row>
    <row r="280" spans="1:38" s="33" customFormat="1" ht="13.5" hidden="1" customHeight="1">
      <c r="A280" s="390"/>
      <c r="B280" s="390" t="s">
        <v>64</v>
      </c>
      <c r="C280" s="391"/>
      <c r="D280" s="497"/>
      <c r="E280" s="385"/>
      <c r="F280" s="497"/>
      <c r="G280" s="389"/>
      <c r="H280" s="389"/>
      <c r="I280" s="389"/>
      <c r="J280" s="385"/>
      <c r="K280" s="389"/>
      <c r="L280" s="389"/>
      <c r="M280" s="385"/>
      <c r="N280" s="298"/>
      <c r="O280" s="385"/>
      <c r="P280" s="385"/>
      <c r="Q280" s="385"/>
      <c r="R280" s="298"/>
      <c r="S280" s="385"/>
      <c r="T280" s="298"/>
      <c r="U280" s="385"/>
      <c r="V280" s="385"/>
      <c r="W280" s="385"/>
      <c r="X280" s="385"/>
      <c r="Y280" s="385"/>
      <c r="Z280" s="385"/>
      <c r="AA280" s="385"/>
      <c r="AB280" s="385"/>
      <c r="AC280" s="385"/>
      <c r="AD280" s="385"/>
      <c r="AE280" s="387"/>
      <c r="AF280" s="387"/>
      <c r="AG280" s="389"/>
      <c r="AH280" s="15"/>
      <c r="AI280" s="15"/>
      <c r="AJ280" s="15"/>
      <c r="AK280" s="15"/>
      <c r="AL280" s="15"/>
    </row>
    <row r="281" spans="1:38" s="33" customFormat="1" ht="13.5" hidden="1" customHeight="1">
      <c r="A281" s="390"/>
      <c r="B281" s="390"/>
      <c r="C281" s="391"/>
      <c r="D281" s="497"/>
      <c r="E281" s="386"/>
      <c r="F281" s="497"/>
      <c r="G281" s="389"/>
      <c r="H281" s="389"/>
      <c r="I281" s="389"/>
      <c r="J281" s="386"/>
      <c r="K281" s="389"/>
      <c r="L281" s="389"/>
      <c r="M281" s="386"/>
      <c r="N281" s="297"/>
      <c r="O281" s="386"/>
      <c r="P281" s="386"/>
      <c r="Q281" s="386"/>
      <c r="R281" s="297"/>
      <c r="S281" s="386"/>
      <c r="T281" s="297"/>
      <c r="U281" s="386"/>
      <c r="V281" s="386"/>
      <c r="W281" s="386"/>
      <c r="X281" s="386"/>
      <c r="Y281" s="386"/>
      <c r="Z281" s="386"/>
      <c r="AA281" s="386"/>
      <c r="AB281" s="386"/>
      <c r="AC281" s="386"/>
      <c r="AD281" s="386"/>
      <c r="AE281" s="388"/>
      <c r="AF281" s="388"/>
      <c r="AG281" s="389"/>
      <c r="AH281" s="15"/>
      <c r="AI281" s="15"/>
      <c r="AJ281" s="15"/>
      <c r="AK281" s="15"/>
      <c r="AL281" s="15"/>
    </row>
    <row r="282" spans="1:38" s="33" customFormat="1" ht="13.5" hidden="1" customHeight="1">
      <c r="A282" s="396" t="s">
        <v>71</v>
      </c>
      <c r="B282" s="390" t="s">
        <v>63</v>
      </c>
      <c r="C282" s="391"/>
      <c r="D282" s="497"/>
      <c r="E282" s="385"/>
      <c r="F282" s="497"/>
      <c r="G282" s="389"/>
      <c r="H282" s="389"/>
      <c r="I282" s="389"/>
      <c r="J282" s="385"/>
      <c r="K282" s="389"/>
      <c r="L282" s="389"/>
      <c r="M282" s="385"/>
      <c r="N282" s="298"/>
      <c r="O282" s="385"/>
      <c r="P282" s="385"/>
      <c r="Q282" s="385"/>
      <c r="R282" s="298"/>
      <c r="S282" s="385"/>
      <c r="T282" s="298"/>
      <c r="U282" s="385"/>
      <c r="V282" s="385"/>
      <c r="W282" s="385"/>
      <c r="X282" s="385"/>
      <c r="Y282" s="385"/>
      <c r="Z282" s="385"/>
      <c r="AA282" s="385"/>
      <c r="AB282" s="385"/>
      <c r="AC282" s="385"/>
      <c r="AD282" s="385"/>
      <c r="AE282" s="387"/>
      <c r="AF282" s="387"/>
      <c r="AG282" s="389"/>
      <c r="AH282" s="15"/>
      <c r="AI282" s="15"/>
      <c r="AJ282" s="15"/>
      <c r="AK282" s="15"/>
      <c r="AL282" s="15"/>
    </row>
    <row r="283" spans="1:38" s="33" customFormat="1" ht="13.5" hidden="1" customHeight="1">
      <c r="A283" s="390"/>
      <c r="B283" s="390"/>
      <c r="C283" s="391"/>
      <c r="D283" s="497"/>
      <c r="E283" s="386"/>
      <c r="F283" s="497"/>
      <c r="G283" s="389"/>
      <c r="H283" s="389"/>
      <c r="I283" s="389"/>
      <c r="J283" s="386"/>
      <c r="K283" s="389"/>
      <c r="L283" s="389"/>
      <c r="M283" s="386"/>
      <c r="N283" s="297"/>
      <c r="O283" s="386"/>
      <c r="P283" s="386"/>
      <c r="Q283" s="386"/>
      <c r="R283" s="297"/>
      <c r="S283" s="386"/>
      <c r="T283" s="297"/>
      <c r="U283" s="386"/>
      <c r="V283" s="386"/>
      <c r="W283" s="386"/>
      <c r="X283" s="386"/>
      <c r="Y283" s="386"/>
      <c r="Z283" s="386"/>
      <c r="AA283" s="386"/>
      <c r="AB283" s="386"/>
      <c r="AC283" s="386"/>
      <c r="AD283" s="386"/>
      <c r="AE283" s="388"/>
      <c r="AF283" s="388"/>
      <c r="AG283" s="389"/>
      <c r="AH283" s="15"/>
      <c r="AI283" s="15"/>
      <c r="AJ283" s="15"/>
      <c r="AK283" s="15"/>
      <c r="AL283" s="15"/>
    </row>
    <row r="284" spans="1:38" s="33" customFormat="1" ht="13.5" hidden="1" customHeight="1">
      <c r="A284" s="390"/>
      <c r="B284" s="390" t="s">
        <v>64</v>
      </c>
      <c r="C284" s="391"/>
      <c r="D284" s="497"/>
      <c r="E284" s="385"/>
      <c r="F284" s="497"/>
      <c r="G284" s="389"/>
      <c r="H284" s="389"/>
      <c r="I284" s="389"/>
      <c r="J284" s="385"/>
      <c r="K284" s="389"/>
      <c r="L284" s="389"/>
      <c r="M284" s="385"/>
      <c r="N284" s="298"/>
      <c r="O284" s="385"/>
      <c r="P284" s="385"/>
      <c r="Q284" s="385"/>
      <c r="R284" s="298"/>
      <c r="S284" s="385"/>
      <c r="T284" s="298"/>
      <c r="U284" s="385"/>
      <c r="V284" s="385"/>
      <c r="W284" s="385"/>
      <c r="X284" s="385"/>
      <c r="Y284" s="385"/>
      <c r="Z284" s="385"/>
      <c r="AA284" s="385"/>
      <c r="AB284" s="385"/>
      <c r="AC284" s="385"/>
      <c r="AD284" s="385"/>
      <c r="AE284" s="387"/>
      <c r="AF284" s="387"/>
      <c r="AG284" s="389"/>
      <c r="AH284" s="15"/>
      <c r="AI284" s="15"/>
      <c r="AJ284" s="15"/>
      <c r="AK284" s="15"/>
      <c r="AL284" s="15"/>
    </row>
    <row r="285" spans="1:38" s="33" customFormat="1" ht="13.5" hidden="1" customHeight="1">
      <c r="A285" s="390"/>
      <c r="B285" s="390"/>
      <c r="C285" s="391"/>
      <c r="D285" s="497"/>
      <c r="E285" s="386"/>
      <c r="F285" s="497"/>
      <c r="G285" s="389"/>
      <c r="H285" s="389"/>
      <c r="I285" s="389"/>
      <c r="J285" s="386"/>
      <c r="K285" s="389"/>
      <c r="L285" s="389"/>
      <c r="M285" s="386"/>
      <c r="N285" s="297"/>
      <c r="O285" s="386"/>
      <c r="P285" s="386"/>
      <c r="Q285" s="386"/>
      <c r="R285" s="297"/>
      <c r="S285" s="386"/>
      <c r="T285" s="297"/>
      <c r="U285" s="386"/>
      <c r="V285" s="386"/>
      <c r="W285" s="386"/>
      <c r="X285" s="386"/>
      <c r="Y285" s="386"/>
      <c r="Z285" s="386"/>
      <c r="AA285" s="386"/>
      <c r="AB285" s="386"/>
      <c r="AC285" s="386"/>
      <c r="AD285" s="386"/>
      <c r="AE285" s="388"/>
      <c r="AF285" s="388"/>
      <c r="AG285" s="389"/>
      <c r="AH285" s="15"/>
      <c r="AI285" s="15"/>
      <c r="AJ285" s="15"/>
      <c r="AK285" s="15"/>
      <c r="AL285" s="15"/>
    </row>
    <row r="286" spans="1:38" s="33" customFormat="1" ht="14.25">
      <c r="A286" s="392" t="s">
        <v>60</v>
      </c>
      <c r="B286" s="393"/>
      <c r="C286" s="393"/>
      <c r="D286" s="381">
        <f>D247-D252-D256-D260-D264-D268-D272</f>
        <v>0</v>
      </c>
      <c r="E286" s="381">
        <f>E247-E252-E256-E260-E264-E268-E272</f>
        <v>0</v>
      </c>
      <c r="F286" s="381">
        <f>F247-F252-F256-F260-F264-F268-F272</f>
        <v>0</v>
      </c>
      <c r="G286" s="381">
        <f>G247-G252-G256-G260-G264-G268-G272</f>
        <v>0</v>
      </c>
      <c r="H286" s="381">
        <f>H247-H252-H256-H260-H264-H268-H272</f>
        <v>0</v>
      </c>
      <c r="I286" s="381" t="e">
        <f>I247-I252-I256-I260-I264-I268-I272-I276</f>
        <v>#REF!</v>
      </c>
      <c r="J286" s="381">
        <f>J247-J252-J256-J260-J264-J268-J272-J276</f>
        <v>0</v>
      </c>
      <c r="K286" s="381">
        <f>K247-K252-K256-K260-K264-K268-K272-K276</f>
        <v>0</v>
      </c>
      <c r="L286" s="381">
        <f>L247-L252-L256-L260-L264-L268-L272</f>
        <v>0</v>
      </c>
      <c r="M286" s="379">
        <f>M247-M252-M256-M260-M264-M268-M272-M276</f>
        <v>0</v>
      </c>
      <c r="N286" s="379">
        <f>N247-N252-N256-N260-N264-N268-N272-N276</f>
        <v>0</v>
      </c>
      <c r="O286" s="379">
        <f>O247-O252-O256-O260-O264-O268-O272</f>
        <v>0</v>
      </c>
      <c r="P286" s="379">
        <f>P247-P252-P256-P260-P264-P268-P272-P276</f>
        <v>0</v>
      </c>
      <c r="Q286" s="379">
        <f t="shared" ref="Q286:AF286" si="177">Q247-Q252-Q256-Q260-Q264-Q268-Q272</f>
        <v>0</v>
      </c>
      <c r="R286" s="379">
        <f>R247-R252-R256-R260-R264-R268-R272</f>
        <v>0.29411764815449715</v>
      </c>
      <c r="S286" s="379">
        <f t="shared" si="177"/>
        <v>0</v>
      </c>
      <c r="T286" s="379">
        <f t="shared" si="177"/>
        <v>1331684.0588235296</v>
      </c>
      <c r="U286" s="379">
        <f>U247-U252-U256-U260-U264-U268-U272</f>
        <v>0</v>
      </c>
      <c r="V286" s="379">
        <f t="shared" si="177"/>
        <v>2100216</v>
      </c>
      <c r="W286" s="379">
        <f t="shared" si="177"/>
        <v>0</v>
      </c>
      <c r="X286" s="379">
        <f t="shared" si="177"/>
        <v>0</v>
      </c>
      <c r="Y286" s="379">
        <f t="shared" si="177"/>
        <v>470943</v>
      </c>
      <c r="Z286" s="379">
        <f t="shared" si="177"/>
        <v>258045</v>
      </c>
      <c r="AA286" s="379">
        <f t="shared" si="177"/>
        <v>77044</v>
      </c>
      <c r="AB286" s="379">
        <f>AB247-AB252-AB256-AB260-AB264-AB268-AB272</f>
        <v>402913</v>
      </c>
      <c r="AC286" s="379">
        <f t="shared" si="177"/>
        <v>5820924</v>
      </c>
      <c r="AD286" s="381">
        <f t="shared" si="177"/>
        <v>649053</v>
      </c>
      <c r="AE286" s="381">
        <f t="shared" si="177"/>
        <v>182688</v>
      </c>
      <c r="AF286" s="381">
        <f t="shared" si="177"/>
        <v>78137</v>
      </c>
      <c r="AG286" s="383"/>
      <c r="AH286" s="15"/>
      <c r="AI286" s="15"/>
      <c r="AJ286" s="15"/>
      <c r="AK286" s="15"/>
      <c r="AL286" s="15"/>
    </row>
    <row r="287" spans="1:38" s="33" customFormat="1" ht="14.25">
      <c r="A287" s="394"/>
      <c r="B287" s="395"/>
      <c r="C287" s="395"/>
      <c r="D287" s="382"/>
      <c r="E287" s="382"/>
      <c r="F287" s="382"/>
      <c r="G287" s="382"/>
      <c r="H287" s="382"/>
      <c r="I287" s="382"/>
      <c r="J287" s="382"/>
      <c r="K287" s="382"/>
      <c r="L287" s="382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  <c r="X287" s="380"/>
      <c r="Y287" s="380"/>
      <c r="Z287" s="380"/>
      <c r="AA287" s="380"/>
      <c r="AB287" s="380"/>
      <c r="AC287" s="380"/>
      <c r="AD287" s="382"/>
      <c r="AE287" s="382"/>
      <c r="AF287" s="382"/>
      <c r="AG287" s="384"/>
      <c r="AH287" s="15"/>
      <c r="AI287" s="15"/>
      <c r="AJ287" s="15"/>
      <c r="AK287" s="15"/>
      <c r="AL287" s="15"/>
    </row>
    <row r="288" spans="1:38" s="33" customFormat="1" ht="14.25">
      <c r="A288" s="373" t="s">
        <v>60</v>
      </c>
      <c r="B288" s="374"/>
      <c r="C288" s="374"/>
      <c r="D288" s="409" t="e">
        <f>SUM(D286:AF287)</f>
        <v>#REF!</v>
      </c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409"/>
      <c r="AB288" s="409"/>
      <c r="AC288" s="409"/>
      <c r="AD288" s="409"/>
      <c r="AE288" s="409"/>
      <c r="AF288" s="409"/>
      <c r="AG288" s="377"/>
      <c r="AH288" s="15"/>
      <c r="AI288" s="15"/>
      <c r="AJ288" s="15"/>
      <c r="AK288" s="15"/>
      <c r="AL288" s="15"/>
    </row>
    <row r="289" spans="1:38" s="33" customFormat="1" ht="14.25">
      <c r="A289" s="375"/>
      <c r="B289" s="376"/>
      <c r="C289" s="376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409"/>
      <c r="AB289" s="409"/>
      <c r="AC289" s="409"/>
      <c r="AD289" s="409"/>
      <c r="AE289" s="409"/>
      <c r="AF289" s="409"/>
      <c r="AG289" s="378"/>
      <c r="AH289" s="15"/>
      <c r="AI289" s="15"/>
      <c r="AJ289" s="15"/>
      <c r="AK289" s="15"/>
      <c r="AL289" s="15"/>
    </row>
    <row r="290" spans="1:38" s="33" customFormat="1" ht="18" customHeight="1">
      <c r="A290" s="373" t="s">
        <v>72</v>
      </c>
      <c r="B290" s="374"/>
      <c r="C290" s="374"/>
      <c r="D290" s="409" t="e">
        <f>D288</f>
        <v>#REF!</v>
      </c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  <c r="AA290" s="409"/>
      <c r="AB290" s="409"/>
      <c r="AC290" s="409"/>
      <c r="AD290" s="409"/>
      <c r="AE290" s="409"/>
      <c r="AF290" s="409"/>
      <c r="AG290" s="378"/>
      <c r="AH290" s="15"/>
      <c r="AI290" s="15"/>
      <c r="AJ290" s="15"/>
      <c r="AK290" s="15"/>
      <c r="AL290" s="15"/>
    </row>
    <row r="291" spans="1:38" s="33" customFormat="1" ht="15" thickBot="1">
      <c r="A291" s="375"/>
      <c r="B291" s="376"/>
      <c r="C291" s="376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409"/>
      <c r="AB291" s="409"/>
      <c r="AC291" s="409"/>
      <c r="AD291" s="409"/>
      <c r="AE291" s="409"/>
      <c r="AF291" s="409"/>
      <c r="AG291" s="475"/>
      <c r="AH291" s="15"/>
      <c r="AI291" s="15"/>
      <c r="AJ291" s="15"/>
      <c r="AK291" s="15"/>
      <c r="AL291" s="15"/>
    </row>
    <row r="292" spans="1:38" s="15" customFormat="1" ht="14.25">
      <c r="D292" s="299"/>
      <c r="E292" s="299"/>
      <c r="F292" s="299"/>
      <c r="G292" s="495"/>
      <c r="H292" s="496"/>
      <c r="I292" s="300"/>
      <c r="J292" s="300"/>
      <c r="K292" s="299"/>
      <c r="L292" s="299"/>
      <c r="M292" s="299"/>
      <c r="N292" s="299"/>
      <c r="O292" s="299"/>
      <c r="P292" s="299"/>
      <c r="Q292" s="299"/>
      <c r="R292" s="299"/>
      <c r="S292" s="299"/>
      <c r="T292" s="299"/>
      <c r="U292" s="299"/>
      <c r="V292" s="299"/>
      <c r="W292" s="299"/>
      <c r="X292" s="299"/>
      <c r="Y292" s="282">
        <f>T286+V286+(Z286/2)+(AA286/2)+(AB286/2)+(AD286/2)+(AE286/2)+(AF286/2)</f>
        <v>4255840.0588235296</v>
      </c>
      <c r="Z292" s="299"/>
      <c r="AA292" s="299"/>
      <c r="AB292" s="299"/>
      <c r="AC292" s="299"/>
      <c r="AD292" s="299"/>
      <c r="AE292" s="299"/>
      <c r="AF292" s="299"/>
      <c r="AG292" s="299"/>
    </row>
    <row r="293" spans="1:38" s="33" customFormat="1" ht="15.75" customHeight="1">
      <c r="A293" s="15"/>
      <c r="B293" s="15"/>
      <c r="C293" s="15"/>
      <c r="D293" s="301"/>
      <c r="E293" s="305"/>
      <c r="F293" s="301"/>
      <c r="G293" s="301"/>
      <c r="H293" s="299">
        <v>17160749</v>
      </c>
      <c r="I293" s="299"/>
      <c r="J293" s="299"/>
      <c r="K293" s="299"/>
      <c r="L293" s="299"/>
      <c r="M293" s="299"/>
      <c r="N293" s="301"/>
      <c r="O293" s="299"/>
      <c r="P293" s="299"/>
      <c r="Q293" s="299"/>
      <c r="R293" s="299"/>
      <c r="S293" s="299"/>
      <c r="T293" s="299"/>
      <c r="U293" s="299"/>
      <c r="V293" s="299"/>
      <c r="W293" s="301"/>
      <c r="X293" s="299"/>
      <c r="Y293" s="299"/>
      <c r="Z293" s="299"/>
      <c r="AA293" s="299"/>
      <c r="AB293" s="299"/>
      <c r="AC293" s="299"/>
      <c r="AD293" s="299"/>
      <c r="AE293" s="299"/>
      <c r="AF293" s="299"/>
      <c r="AG293" s="299"/>
      <c r="AH293" s="15"/>
      <c r="AI293" s="15"/>
      <c r="AJ293" s="15"/>
      <c r="AK293" s="15"/>
      <c r="AL293" s="15"/>
    </row>
    <row r="294" spans="1:38" ht="27.75" customHeight="1">
      <c r="D294" s="304"/>
      <c r="E294" s="304"/>
      <c r="H294" s="304" t="e">
        <f>H293-D290</f>
        <v>#REF!</v>
      </c>
      <c r="N294" s="304"/>
      <c r="P294" s="304"/>
      <c r="R294" s="302">
        <v>11371778</v>
      </c>
      <c r="S294" s="234"/>
      <c r="T294" s="234"/>
      <c r="U294" s="234"/>
      <c r="W294" s="304" cm="1">
        <f t="array" ref="W294:W295">'R&amp;C24年8月-25年7月'!W252:W253+'R&amp;C24年8月-25年7月'!X252:X253+'NIPPONIKA24年8月-25年7月'!G148</f>
        <v>3700488.2352941176</v>
      </c>
      <c r="X294" s="304">
        <f>W293+W294</f>
        <v>3700488.2352941176</v>
      </c>
    </row>
    <row r="295" spans="1:38">
      <c r="L295" s="234"/>
      <c r="R295" s="304" t="e">
        <f>R294-D288</f>
        <v>#REF!</v>
      </c>
      <c r="W295" s="302">
        <v>3288027.2352941176</v>
      </c>
    </row>
  </sheetData>
  <mergeCells count="725"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B21:B22"/>
    <mergeCell ref="B23:B24"/>
    <mergeCell ref="B25:B26"/>
    <mergeCell ref="B27:B28"/>
    <mergeCell ref="B29:B30"/>
    <mergeCell ref="B31:B32"/>
    <mergeCell ref="A3:A10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79:B80"/>
    <mergeCell ref="B57:B58"/>
    <mergeCell ref="B59:B60"/>
    <mergeCell ref="B61:B62"/>
    <mergeCell ref="B63:B64"/>
    <mergeCell ref="B65:B66"/>
    <mergeCell ref="B67:B68"/>
    <mergeCell ref="B101:B102"/>
    <mergeCell ref="B106:C106"/>
    <mergeCell ref="B89:B90"/>
    <mergeCell ref="B93:B94"/>
    <mergeCell ref="B97:B98"/>
    <mergeCell ref="A107:A155"/>
    <mergeCell ref="A156:C156"/>
    <mergeCell ref="A157:C158"/>
    <mergeCell ref="A159:A160"/>
    <mergeCell ref="B159:C159"/>
    <mergeCell ref="B160:C160"/>
    <mergeCell ref="B81:B82"/>
    <mergeCell ref="B83:B84"/>
    <mergeCell ref="B85:B86"/>
    <mergeCell ref="B87:B88"/>
    <mergeCell ref="B91:B92"/>
    <mergeCell ref="B99:B100"/>
    <mergeCell ref="B95:B96"/>
    <mergeCell ref="B103:B104"/>
    <mergeCell ref="B191:C192"/>
    <mergeCell ref="B193:C194"/>
    <mergeCell ref="B195:C196"/>
    <mergeCell ref="B197:C198"/>
    <mergeCell ref="B199:C200"/>
    <mergeCell ref="B201:C202"/>
    <mergeCell ref="B179:B180"/>
    <mergeCell ref="B181:C182"/>
    <mergeCell ref="B183:C184"/>
    <mergeCell ref="B185:B186"/>
    <mergeCell ref="B187:C188"/>
    <mergeCell ref="B189:C190"/>
    <mergeCell ref="B219:C220"/>
    <mergeCell ref="B221:C222"/>
    <mergeCell ref="B223:C224"/>
    <mergeCell ref="B225:C226"/>
    <mergeCell ref="B203:B204"/>
    <mergeCell ref="B205:C206"/>
    <mergeCell ref="B207:C208"/>
    <mergeCell ref="B209:C210"/>
    <mergeCell ref="B211:C212"/>
    <mergeCell ref="B213:C214"/>
    <mergeCell ref="B241:C242"/>
    <mergeCell ref="A243:A244"/>
    <mergeCell ref="B243:C243"/>
    <mergeCell ref="B244:C244"/>
    <mergeCell ref="A247:C248"/>
    <mergeCell ref="D247:D248"/>
    <mergeCell ref="B227:C228"/>
    <mergeCell ref="B229:C230"/>
    <mergeCell ref="B231:C232"/>
    <mergeCell ref="B233:B234"/>
    <mergeCell ref="B237:C238"/>
    <mergeCell ref="B239:C240"/>
    <mergeCell ref="A161:A240"/>
    <mergeCell ref="B161:C162"/>
    <mergeCell ref="B163:C164"/>
    <mergeCell ref="B165:C166"/>
    <mergeCell ref="B167:C168"/>
    <mergeCell ref="B169:C170"/>
    <mergeCell ref="B171:C172"/>
    <mergeCell ref="B173:C174"/>
    <mergeCell ref="B175:C176"/>
    <mergeCell ref="B177:C178"/>
    <mergeCell ref="B215:C216"/>
    <mergeCell ref="B217:C218"/>
    <mergeCell ref="N247:N248"/>
    <mergeCell ref="O247:O248"/>
    <mergeCell ref="P247:P248"/>
    <mergeCell ref="Q247:Q248"/>
    <mergeCell ref="E247:E248"/>
    <mergeCell ref="F247:F248"/>
    <mergeCell ref="G247:G248"/>
    <mergeCell ref="H247:H248"/>
    <mergeCell ref="I247:I248"/>
    <mergeCell ref="K247:K248"/>
    <mergeCell ref="J247:J248"/>
    <mergeCell ref="AF247:AF248"/>
    <mergeCell ref="AG247:AG248"/>
    <mergeCell ref="A249:C249"/>
    <mergeCell ref="A250:A253"/>
    <mergeCell ref="B250:C251"/>
    <mergeCell ref="D250:D251"/>
    <mergeCell ref="E250:E251"/>
    <mergeCell ref="F250:F251"/>
    <mergeCell ref="G250:G251"/>
    <mergeCell ref="H250:H251"/>
    <mergeCell ref="Y247:Y248"/>
    <mergeCell ref="Z247:Z248"/>
    <mergeCell ref="AA247:AA248"/>
    <mergeCell ref="AC247:AC248"/>
    <mergeCell ref="AD247:AD248"/>
    <mergeCell ref="AE247:AE248"/>
    <mergeCell ref="R247:R248"/>
    <mergeCell ref="S247:S248"/>
    <mergeCell ref="T247:T248"/>
    <mergeCell ref="V247:V248"/>
    <mergeCell ref="W247:W248"/>
    <mergeCell ref="X247:X248"/>
    <mergeCell ref="L247:L248"/>
    <mergeCell ref="M247:M248"/>
    <mergeCell ref="AF250:AF251"/>
    <mergeCell ref="AG250:AG251"/>
    <mergeCell ref="B252:C253"/>
    <mergeCell ref="D252:D253"/>
    <mergeCell ref="E252:E253"/>
    <mergeCell ref="F252:F253"/>
    <mergeCell ref="G252:G253"/>
    <mergeCell ref="H252:H253"/>
    <mergeCell ref="I252:I253"/>
    <mergeCell ref="X250:X251"/>
    <mergeCell ref="Y250:Y251"/>
    <mergeCell ref="Z250:Z251"/>
    <mergeCell ref="AA250:AA251"/>
    <mergeCell ref="AC250:AC251"/>
    <mergeCell ref="AD250:AD251"/>
    <mergeCell ref="P250:P251"/>
    <mergeCell ref="Q250:Q251"/>
    <mergeCell ref="R250:R251"/>
    <mergeCell ref="S250:S251"/>
    <mergeCell ref="V250:V251"/>
    <mergeCell ref="W250:W251"/>
    <mergeCell ref="I250:I251"/>
    <mergeCell ref="K250:K251"/>
    <mergeCell ref="L250:L251"/>
    <mergeCell ref="K252:K253"/>
    <mergeCell ref="L252:L253"/>
    <mergeCell ref="M252:M253"/>
    <mergeCell ref="N252:N253"/>
    <mergeCell ref="O252:O253"/>
    <mergeCell ref="P252:P253"/>
    <mergeCell ref="AE250:AE251"/>
    <mergeCell ref="M250:M251"/>
    <mergeCell ref="N250:N251"/>
    <mergeCell ref="O250:O251"/>
    <mergeCell ref="T250:T251"/>
    <mergeCell ref="T252:T253"/>
    <mergeCell ref="M254:M255"/>
    <mergeCell ref="N254:N255"/>
    <mergeCell ref="O254:O255"/>
    <mergeCell ref="P254:P255"/>
    <mergeCell ref="AF252:AF253"/>
    <mergeCell ref="AG252:AG253"/>
    <mergeCell ref="A254:A257"/>
    <mergeCell ref="B254:C255"/>
    <mergeCell ref="D254:D255"/>
    <mergeCell ref="E254:E255"/>
    <mergeCell ref="F254:F255"/>
    <mergeCell ref="G254:G255"/>
    <mergeCell ref="H254:H255"/>
    <mergeCell ref="I254:I255"/>
    <mergeCell ref="Y252:Y253"/>
    <mergeCell ref="Z252:Z253"/>
    <mergeCell ref="AA252:AA253"/>
    <mergeCell ref="AC252:AC253"/>
    <mergeCell ref="AD252:AD253"/>
    <mergeCell ref="AE252:AE253"/>
    <mergeCell ref="Q252:Q253"/>
    <mergeCell ref="R252:R253"/>
    <mergeCell ref="S252:S253"/>
    <mergeCell ref="V252:V253"/>
    <mergeCell ref="AE254:AE255"/>
    <mergeCell ref="AF254:AF255"/>
    <mergeCell ref="AG254:AG255"/>
    <mergeCell ref="B256:C257"/>
    <mergeCell ref="D256:D257"/>
    <mergeCell ref="E256:E257"/>
    <mergeCell ref="F256:F257"/>
    <mergeCell ref="G256:G257"/>
    <mergeCell ref="H256:H257"/>
    <mergeCell ref="I256:I257"/>
    <mergeCell ref="X254:X255"/>
    <mergeCell ref="Y254:Y255"/>
    <mergeCell ref="Z254:Z255"/>
    <mergeCell ref="AA254:AA255"/>
    <mergeCell ref="AC254:AC255"/>
    <mergeCell ref="AD254:AD255"/>
    <mergeCell ref="Q254:Q255"/>
    <mergeCell ref="R254:R255"/>
    <mergeCell ref="S254:S255"/>
    <mergeCell ref="T254:T255"/>
    <mergeCell ref="V254:V255"/>
    <mergeCell ref="W254:W255"/>
    <mergeCell ref="K254:K255"/>
    <mergeCell ref="L254:L255"/>
    <mergeCell ref="AF256:AF257"/>
    <mergeCell ref="AG256:AG257"/>
    <mergeCell ref="A258:A261"/>
    <mergeCell ref="B258:C259"/>
    <mergeCell ref="D258:D259"/>
    <mergeCell ref="E258:E259"/>
    <mergeCell ref="F258:F259"/>
    <mergeCell ref="G258:G259"/>
    <mergeCell ref="H258:H259"/>
    <mergeCell ref="X256:X257"/>
    <mergeCell ref="Y256:Y257"/>
    <mergeCell ref="Z256:Z257"/>
    <mergeCell ref="AA256:AA257"/>
    <mergeCell ref="AC256:AC257"/>
    <mergeCell ref="AD256:AD257"/>
    <mergeCell ref="Q256:Q257"/>
    <mergeCell ref="R256:R257"/>
    <mergeCell ref="S256:S257"/>
    <mergeCell ref="T256:T257"/>
    <mergeCell ref="V256:V257"/>
    <mergeCell ref="W256:W257"/>
    <mergeCell ref="K256:K257"/>
    <mergeCell ref="L256:L257"/>
    <mergeCell ref="M256:M257"/>
    <mergeCell ref="T258:T259"/>
    <mergeCell ref="V258:V259"/>
    <mergeCell ref="I258:I259"/>
    <mergeCell ref="K258:K259"/>
    <mergeCell ref="L258:L259"/>
    <mergeCell ref="M258:M259"/>
    <mergeCell ref="N258:N259"/>
    <mergeCell ref="O258:O259"/>
    <mergeCell ref="AE256:AE257"/>
    <mergeCell ref="N256:N257"/>
    <mergeCell ref="O256:O257"/>
    <mergeCell ref="P256:P257"/>
    <mergeCell ref="L260:L261"/>
    <mergeCell ref="M260:M261"/>
    <mergeCell ref="N260:N261"/>
    <mergeCell ref="O260:O261"/>
    <mergeCell ref="AD258:AD259"/>
    <mergeCell ref="AE258:AE259"/>
    <mergeCell ref="AF258:AF259"/>
    <mergeCell ref="AG258:AG259"/>
    <mergeCell ref="B260:C261"/>
    <mergeCell ref="D260:D261"/>
    <mergeCell ref="E260:E261"/>
    <mergeCell ref="F260:F261"/>
    <mergeCell ref="G260:G261"/>
    <mergeCell ref="H260:H261"/>
    <mergeCell ref="W258:W259"/>
    <mergeCell ref="X258:X259"/>
    <mergeCell ref="Y258:Y259"/>
    <mergeCell ref="Z258:Z259"/>
    <mergeCell ref="AA258:AA259"/>
    <mergeCell ref="AC258:AC259"/>
    <mergeCell ref="P258:P259"/>
    <mergeCell ref="Q258:Q259"/>
    <mergeCell ref="R258:R259"/>
    <mergeCell ref="S258:S259"/>
    <mergeCell ref="AD260:AD261"/>
    <mergeCell ref="AE260:AE261"/>
    <mergeCell ref="AF260:AF261"/>
    <mergeCell ref="AG260:AG261"/>
    <mergeCell ref="A262:A265"/>
    <mergeCell ref="B262:C263"/>
    <mergeCell ref="D262:D263"/>
    <mergeCell ref="E262:E263"/>
    <mergeCell ref="F262:F263"/>
    <mergeCell ref="G262:G263"/>
    <mergeCell ref="W260:W261"/>
    <mergeCell ref="X260:X261"/>
    <mergeCell ref="Y260:Y261"/>
    <mergeCell ref="Z260:Z261"/>
    <mergeCell ref="AA260:AA261"/>
    <mergeCell ref="AC260:AC261"/>
    <mergeCell ref="P260:P261"/>
    <mergeCell ref="Q260:Q261"/>
    <mergeCell ref="R260:R261"/>
    <mergeCell ref="S260:S261"/>
    <mergeCell ref="T260:T261"/>
    <mergeCell ref="V260:V261"/>
    <mergeCell ref="I260:I261"/>
    <mergeCell ref="K260:K261"/>
    <mergeCell ref="B264:C265"/>
    <mergeCell ref="D264:D265"/>
    <mergeCell ref="E264:E265"/>
    <mergeCell ref="F264:F265"/>
    <mergeCell ref="G264:G265"/>
    <mergeCell ref="V262:V263"/>
    <mergeCell ref="W262:W263"/>
    <mergeCell ref="X262:X263"/>
    <mergeCell ref="Y262:Y263"/>
    <mergeCell ref="O262:O263"/>
    <mergeCell ref="P262:P263"/>
    <mergeCell ref="Q262:Q263"/>
    <mergeCell ref="R262:R263"/>
    <mergeCell ref="S262:S263"/>
    <mergeCell ref="T262:T263"/>
    <mergeCell ref="H262:H263"/>
    <mergeCell ref="I262:I263"/>
    <mergeCell ref="K262:K263"/>
    <mergeCell ref="L262:L263"/>
    <mergeCell ref="M262:M263"/>
    <mergeCell ref="N262:N263"/>
    <mergeCell ref="K264:K265"/>
    <mergeCell ref="L264:L265"/>
    <mergeCell ref="M264:M265"/>
    <mergeCell ref="N264:N265"/>
    <mergeCell ref="AC262:AC263"/>
    <mergeCell ref="AD262:AD263"/>
    <mergeCell ref="AE262:AE263"/>
    <mergeCell ref="AF262:AF263"/>
    <mergeCell ref="AG262:AG263"/>
    <mergeCell ref="Z262:Z263"/>
    <mergeCell ref="AA262:AA263"/>
    <mergeCell ref="AC264:AC265"/>
    <mergeCell ref="AD264:AD265"/>
    <mergeCell ref="AE264:AE265"/>
    <mergeCell ref="AF264:AF265"/>
    <mergeCell ref="AG264:AG265"/>
    <mergeCell ref="Z264:Z265"/>
    <mergeCell ref="AA264:AA265"/>
    <mergeCell ref="U264:U265"/>
    <mergeCell ref="AB264:AB265"/>
    <mergeCell ref="A266:A269"/>
    <mergeCell ref="B266:C267"/>
    <mergeCell ref="D266:D267"/>
    <mergeCell ref="E266:E267"/>
    <mergeCell ref="F266:F267"/>
    <mergeCell ref="V264:V265"/>
    <mergeCell ref="W264:W265"/>
    <mergeCell ref="X264:X265"/>
    <mergeCell ref="Y264:Y265"/>
    <mergeCell ref="O264:O265"/>
    <mergeCell ref="P264:P265"/>
    <mergeCell ref="Q264:Q265"/>
    <mergeCell ref="R264:R265"/>
    <mergeCell ref="S264:S265"/>
    <mergeCell ref="T264:T265"/>
    <mergeCell ref="H264:H265"/>
    <mergeCell ref="I264:I265"/>
    <mergeCell ref="N266:N267"/>
    <mergeCell ref="O266:O267"/>
    <mergeCell ref="P266:P267"/>
    <mergeCell ref="Q266:Q267"/>
    <mergeCell ref="R266:R267"/>
    <mergeCell ref="S266:S267"/>
    <mergeCell ref="G266:G267"/>
    <mergeCell ref="H266:H267"/>
    <mergeCell ref="I266:I267"/>
    <mergeCell ref="K266:K267"/>
    <mergeCell ref="L266:L267"/>
    <mergeCell ref="M266:M267"/>
    <mergeCell ref="AA266:AA267"/>
    <mergeCell ref="AC266:AC267"/>
    <mergeCell ref="AD266:AD267"/>
    <mergeCell ref="AE266:AE267"/>
    <mergeCell ref="U266:U267"/>
    <mergeCell ref="AB266:AB267"/>
    <mergeCell ref="AE268:AE269"/>
    <mergeCell ref="AF268:AF269"/>
    <mergeCell ref="Z268:Z269"/>
    <mergeCell ref="AA268:AA269"/>
    <mergeCell ref="AC268:AC269"/>
    <mergeCell ref="J268:J269"/>
    <mergeCell ref="AF266:AF267"/>
    <mergeCell ref="AG266:AG267"/>
    <mergeCell ref="T266:T267"/>
    <mergeCell ref="V266:V267"/>
    <mergeCell ref="W266:W267"/>
    <mergeCell ref="X266:X267"/>
    <mergeCell ref="Y266:Y267"/>
    <mergeCell ref="Z266:Z267"/>
    <mergeCell ref="L268:L269"/>
    <mergeCell ref="M268:M269"/>
    <mergeCell ref="N268:N269"/>
    <mergeCell ref="O268:O269"/>
    <mergeCell ref="AG268:AG269"/>
    <mergeCell ref="W268:W269"/>
    <mergeCell ref="X268:X269"/>
    <mergeCell ref="Y268:Y269"/>
    <mergeCell ref="P268:P269"/>
    <mergeCell ref="Q268:Q269"/>
    <mergeCell ref="B268:C269"/>
    <mergeCell ref="D268:D269"/>
    <mergeCell ref="E268:E269"/>
    <mergeCell ref="F268:F269"/>
    <mergeCell ref="G268:G269"/>
    <mergeCell ref="H268:H269"/>
    <mergeCell ref="J270:J271"/>
    <mergeCell ref="J272:J273"/>
    <mergeCell ref="D270:D271"/>
    <mergeCell ref="E270:E271"/>
    <mergeCell ref="F270:F271"/>
    <mergeCell ref="G270:G271"/>
    <mergeCell ref="H270:H271"/>
    <mergeCell ref="AE270:AE271"/>
    <mergeCell ref="AF270:AF271"/>
    <mergeCell ref="M270:M271"/>
    <mergeCell ref="O270:O271"/>
    <mergeCell ref="I272:I273"/>
    <mergeCell ref="K272:K273"/>
    <mergeCell ref="L272:L273"/>
    <mergeCell ref="M272:M273"/>
    <mergeCell ref="O272:O273"/>
    <mergeCell ref="I270:I271"/>
    <mergeCell ref="K270:K271"/>
    <mergeCell ref="AD270:AD271"/>
    <mergeCell ref="L270:L271"/>
    <mergeCell ref="AE272:AE273"/>
    <mergeCell ref="AF272:AF273"/>
    <mergeCell ref="X272:X273"/>
    <mergeCell ref="Y272:Y273"/>
    <mergeCell ref="Q272:Q273"/>
    <mergeCell ref="R272:R273"/>
    <mergeCell ref="S272:S273"/>
    <mergeCell ref="T272:T273"/>
    <mergeCell ref="U272:U273"/>
    <mergeCell ref="R268:R269"/>
    <mergeCell ref="S268:S269"/>
    <mergeCell ref="T268:T269"/>
    <mergeCell ref="V268:V269"/>
    <mergeCell ref="I268:I269"/>
    <mergeCell ref="K268:K269"/>
    <mergeCell ref="AD268:AD269"/>
    <mergeCell ref="AA274:AA275"/>
    <mergeCell ref="AC274:AC275"/>
    <mergeCell ref="AD274:AD275"/>
    <mergeCell ref="V272:V273"/>
    <mergeCell ref="W272:W273"/>
    <mergeCell ref="J274:J275"/>
    <mergeCell ref="U268:U269"/>
    <mergeCell ref="U270:U271"/>
    <mergeCell ref="X274:X275"/>
    <mergeCell ref="Y274:Y275"/>
    <mergeCell ref="Z274:Z275"/>
    <mergeCell ref="Q274:Q275"/>
    <mergeCell ref="R274:R275"/>
    <mergeCell ref="S274:S275"/>
    <mergeCell ref="T274:T275"/>
    <mergeCell ref="V274:V275"/>
    <mergeCell ref="W274:W275"/>
    <mergeCell ref="AG270:AG271"/>
    <mergeCell ref="B272:C273"/>
    <mergeCell ref="D272:D273"/>
    <mergeCell ref="E272:E273"/>
    <mergeCell ref="F272:F273"/>
    <mergeCell ref="G272:G273"/>
    <mergeCell ref="H272:H273"/>
    <mergeCell ref="W270:W271"/>
    <mergeCell ref="X270:X271"/>
    <mergeCell ref="Y270:Y271"/>
    <mergeCell ref="Z270:Z271"/>
    <mergeCell ref="AA270:AA271"/>
    <mergeCell ref="AC270:AC271"/>
    <mergeCell ref="P270:P271"/>
    <mergeCell ref="Q270:Q271"/>
    <mergeCell ref="R270:R271"/>
    <mergeCell ref="S270:S271"/>
    <mergeCell ref="T270:T271"/>
    <mergeCell ref="V270:V271"/>
    <mergeCell ref="AG272:AG273"/>
    <mergeCell ref="Z272:Z273"/>
    <mergeCell ref="AA272:AA273"/>
    <mergeCell ref="AC272:AC273"/>
    <mergeCell ref="AD272:AD273"/>
    <mergeCell ref="B276:C277"/>
    <mergeCell ref="P272:P273"/>
    <mergeCell ref="A270:A273"/>
    <mergeCell ref="V276:V277"/>
    <mergeCell ref="W276:W277"/>
    <mergeCell ref="X276:X277"/>
    <mergeCell ref="K276:K277"/>
    <mergeCell ref="L276:L277"/>
    <mergeCell ref="M276:M277"/>
    <mergeCell ref="O276:O277"/>
    <mergeCell ref="B274:C275"/>
    <mergeCell ref="D274:D275"/>
    <mergeCell ref="E274:E275"/>
    <mergeCell ref="F274:F275"/>
    <mergeCell ref="G274:G275"/>
    <mergeCell ref="H274:H275"/>
    <mergeCell ref="P276:P277"/>
    <mergeCell ref="Q276:Q277"/>
    <mergeCell ref="L274:L275"/>
    <mergeCell ref="M274:M275"/>
    <mergeCell ref="O274:O275"/>
    <mergeCell ref="P274:P275"/>
    <mergeCell ref="J276:J277"/>
    <mergeCell ref="Q278:Q279"/>
    <mergeCell ref="AF276:AF277"/>
    <mergeCell ref="AG276:AG277"/>
    <mergeCell ref="A278:A281"/>
    <mergeCell ref="B278:C279"/>
    <mergeCell ref="D278:D279"/>
    <mergeCell ref="E278:E279"/>
    <mergeCell ref="F278:F279"/>
    <mergeCell ref="G278:G279"/>
    <mergeCell ref="H278:H279"/>
    <mergeCell ref="I278:I279"/>
    <mergeCell ref="Y276:Y277"/>
    <mergeCell ref="Z276:Z277"/>
    <mergeCell ref="AA276:AA277"/>
    <mergeCell ref="AC276:AC277"/>
    <mergeCell ref="AD276:AD277"/>
    <mergeCell ref="AE276:AE277"/>
    <mergeCell ref="R276:R277"/>
    <mergeCell ref="S276:S277"/>
    <mergeCell ref="T276:T277"/>
    <mergeCell ref="A274:A277"/>
    <mergeCell ref="AE274:AE275"/>
    <mergeCell ref="AF274:AF275"/>
    <mergeCell ref="U274:U275"/>
    <mergeCell ref="AG274:AG275"/>
    <mergeCell ref="AA278:AA279"/>
    <mergeCell ref="AC278:AC279"/>
    <mergeCell ref="AD278:AD279"/>
    <mergeCell ref="AE278:AE279"/>
    <mergeCell ref="AF278:AF279"/>
    <mergeCell ref="AG278:AG279"/>
    <mergeCell ref="S278:S279"/>
    <mergeCell ref="V278:V279"/>
    <mergeCell ref="W278:W279"/>
    <mergeCell ref="X278:X279"/>
    <mergeCell ref="Y278:Y279"/>
    <mergeCell ref="Z278:Z279"/>
    <mergeCell ref="U278:U279"/>
    <mergeCell ref="U276:U277"/>
    <mergeCell ref="X280:X281"/>
    <mergeCell ref="Y280:Y281"/>
    <mergeCell ref="AG280:AG281"/>
    <mergeCell ref="Z280:Z281"/>
    <mergeCell ref="AA280:AA281"/>
    <mergeCell ref="AC280:AC281"/>
    <mergeCell ref="AD280:AD281"/>
    <mergeCell ref="AE280:AE281"/>
    <mergeCell ref="AF280:AF281"/>
    <mergeCell ref="A282:A285"/>
    <mergeCell ref="B282:C283"/>
    <mergeCell ref="D282:D283"/>
    <mergeCell ref="E282:E283"/>
    <mergeCell ref="F282:F283"/>
    <mergeCell ref="G282:G283"/>
    <mergeCell ref="H282:H283"/>
    <mergeCell ref="I282:I283"/>
    <mergeCell ref="K282:K283"/>
    <mergeCell ref="J282:J283"/>
    <mergeCell ref="J284:J285"/>
    <mergeCell ref="AE282:AE283"/>
    <mergeCell ref="AF282:AF283"/>
    <mergeCell ref="AG282:AG283"/>
    <mergeCell ref="Z282:Z283"/>
    <mergeCell ref="AA282:AA283"/>
    <mergeCell ref="AC282:AC283"/>
    <mergeCell ref="AD282:AD283"/>
    <mergeCell ref="M282:M283"/>
    <mergeCell ref="O282:O283"/>
    <mergeCell ref="P282:P283"/>
    <mergeCell ref="Q282:Q283"/>
    <mergeCell ref="S282:S283"/>
    <mergeCell ref="V282:V283"/>
    <mergeCell ref="W282:W283"/>
    <mergeCell ref="X282:X283"/>
    <mergeCell ref="Y282:Y283"/>
    <mergeCell ref="U282:U283"/>
    <mergeCell ref="AF284:AF285"/>
    <mergeCell ref="AG284:AG285"/>
    <mergeCell ref="Z284:Z285"/>
    <mergeCell ref="AA284:AA285"/>
    <mergeCell ref="AC284:AC285"/>
    <mergeCell ref="AD284:AD285"/>
    <mergeCell ref="AE284:AE285"/>
    <mergeCell ref="P286:P287"/>
    <mergeCell ref="Q286:Q287"/>
    <mergeCell ref="X284:X285"/>
    <mergeCell ref="Y284:Y285"/>
    <mergeCell ref="P284:P285"/>
    <mergeCell ref="Q284:Q285"/>
    <mergeCell ref="S284:S285"/>
    <mergeCell ref="V284:V285"/>
    <mergeCell ref="U284:U285"/>
    <mergeCell ref="U286:U287"/>
    <mergeCell ref="AB286:AB287"/>
    <mergeCell ref="L278:L279"/>
    <mergeCell ref="J278:J279"/>
    <mergeCell ref="J280:J281"/>
    <mergeCell ref="O286:O287"/>
    <mergeCell ref="H284:H285"/>
    <mergeCell ref="M284:M285"/>
    <mergeCell ref="O284:O285"/>
    <mergeCell ref="W284:W285"/>
    <mergeCell ref="I284:I285"/>
    <mergeCell ref="K284:K285"/>
    <mergeCell ref="L284:L285"/>
    <mergeCell ref="N286:N287"/>
    <mergeCell ref="J286:J287"/>
    <mergeCell ref="M280:M281"/>
    <mergeCell ref="O280:O281"/>
    <mergeCell ref="P280:P281"/>
    <mergeCell ref="V280:V281"/>
    <mergeCell ref="W280:W281"/>
    <mergeCell ref="Q280:Q281"/>
    <mergeCell ref="S280:S281"/>
    <mergeCell ref="U280:U281"/>
    <mergeCell ref="M278:M279"/>
    <mergeCell ref="O278:O279"/>
    <mergeCell ref="P278:P279"/>
    <mergeCell ref="L282:L283"/>
    <mergeCell ref="D286:D287"/>
    <mergeCell ref="E286:E287"/>
    <mergeCell ref="F286:F287"/>
    <mergeCell ref="G286:G287"/>
    <mergeCell ref="H286:H287"/>
    <mergeCell ref="I286:I287"/>
    <mergeCell ref="K286:K287"/>
    <mergeCell ref="L280:L281"/>
    <mergeCell ref="B235:B236"/>
    <mergeCell ref="B284:C285"/>
    <mergeCell ref="D284:D285"/>
    <mergeCell ref="E284:E285"/>
    <mergeCell ref="F284:F285"/>
    <mergeCell ref="G284:G285"/>
    <mergeCell ref="I280:I281"/>
    <mergeCell ref="K280:K281"/>
    <mergeCell ref="D276:D277"/>
    <mergeCell ref="E276:E277"/>
    <mergeCell ref="F276:F277"/>
    <mergeCell ref="G276:G277"/>
    <mergeCell ref="H276:H277"/>
    <mergeCell ref="I276:I277"/>
    <mergeCell ref="I274:I275"/>
    <mergeCell ref="K274:K275"/>
    <mergeCell ref="B270:C271"/>
    <mergeCell ref="B280:C281"/>
    <mergeCell ref="D280:D281"/>
    <mergeCell ref="E280:E281"/>
    <mergeCell ref="F280:F281"/>
    <mergeCell ref="G280:G281"/>
    <mergeCell ref="H280:H281"/>
    <mergeCell ref="K278:K279"/>
    <mergeCell ref="G292:H292"/>
    <mergeCell ref="AF286:AF287"/>
    <mergeCell ref="AG286:AG287"/>
    <mergeCell ref="A288:C289"/>
    <mergeCell ref="D288:AF289"/>
    <mergeCell ref="AG288:AG289"/>
    <mergeCell ref="A290:C291"/>
    <mergeCell ref="D290:AF291"/>
    <mergeCell ref="AG290:AG291"/>
    <mergeCell ref="Y286:Y287"/>
    <mergeCell ref="Z286:Z287"/>
    <mergeCell ref="AA286:AA287"/>
    <mergeCell ref="AC286:AC287"/>
    <mergeCell ref="AD286:AD287"/>
    <mergeCell ref="AE286:AE287"/>
    <mergeCell ref="R286:R287"/>
    <mergeCell ref="S286:S287"/>
    <mergeCell ref="T286:T287"/>
    <mergeCell ref="V286:V287"/>
    <mergeCell ref="W286:W287"/>
    <mergeCell ref="X286:X287"/>
    <mergeCell ref="L286:L287"/>
    <mergeCell ref="M286:M287"/>
    <mergeCell ref="A286:C287"/>
    <mergeCell ref="AB247:AB248"/>
    <mergeCell ref="U247:U248"/>
    <mergeCell ref="U250:U251"/>
    <mergeCell ref="U252:U253"/>
    <mergeCell ref="U254:U255"/>
    <mergeCell ref="U256:U257"/>
    <mergeCell ref="U258:U259"/>
    <mergeCell ref="U260:U261"/>
    <mergeCell ref="U262:U263"/>
    <mergeCell ref="W252:W253"/>
    <mergeCell ref="X252:X253"/>
    <mergeCell ref="AB250:AB251"/>
    <mergeCell ref="AB252:AB253"/>
    <mergeCell ref="AB254:AB255"/>
    <mergeCell ref="AB256:AB257"/>
    <mergeCell ref="AB258:AB259"/>
    <mergeCell ref="AB260:AB261"/>
    <mergeCell ref="AB262:AB263"/>
    <mergeCell ref="AB268:AB269"/>
    <mergeCell ref="AB270:AB271"/>
    <mergeCell ref="AB272:AB273"/>
    <mergeCell ref="AB274:AB275"/>
    <mergeCell ref="AB276:AB277"/>
    <mergeCell ref="AB278:AB279"/>
    <mergeCell ref="AB280:AB281"/>
    <mergeCell ref="AB282:AB283"/>
    <mergeCell ref="AB284:AB285"/>
  </mergeCells>
  <phoneticPr fontId="28"/>
  <pageMargins left="0" right="0" top="0" bottom="0" header="0" footer="0"/>
  <pageSetup paperSize="9" scale="36" orientation="portrait" r:id="rId1"/>
  <rowBreaks count="2" manualBreakCount="2">
    <brk id="80" max="27" man="1"/>
    <brk id="180" max="27" man="1"/>
  </rowBreaks>
  <colBreaks count="1" manualBreakCount="1">
    <brk id="15" max="29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66"/>
  </sheetPr>
  <dimension ref="A1:I277"/>
  <sheetViews>
    <sheetView tabSelected="1" view="pageBreakPreview" zoomScale="80" zoomScaleNormal="100" zoomScaleSheetLayoutView="80" workbookViewId="0">
      <pane xSplit="2" ySplit="2" topLeftCell="C214" activePane="bottomRight" state="frozen"/>
      <selection pane="topRight" activeCell="L44" sqref="L44"/>
      <selection pane="bottomLeft" activeCell="L44" sqref="L44"/>
      <selection pane="bottomRight" activeCell="M18" sqref="M18"/>
    </sheetView>
  </sheetViews>
  <sheetFormatPr defaultColWidth="9" defaultRowHeight="13.5"/>
  <cols>
    <col min="1" max="1" width="9" customWidth="1"/>
    <col min="2" max="2" width="25" customWidth="1"/>
    <col min="3" max="4" width="15.375" customWidth="1"/>
    <col min="5" max="5" width="12.875" customWidth="1"/>
    <col min="6" max="6" width="10.625" bestFit="1" customWidth="1"/>
    <col min="7" max="7" width="13.125" bestFit="1" customWidth="1"/>
    <col min="8" max="8" width="11.125" bestFit="1" customWidth="1"/>
    <col min="9" max="9" width="14.375" bestFit="1" customWidth="1"/>
  </cols>
  <sheetData>
    <row r="1" spans="1:6" ht="36" customHeight="1">
      <c r="A1" s="1" t="s">
        <v>0</v>
      </c>
      <c r="C1" s="112" t="s">
        <v>89</v>
      </c>
      <c r="D1" s="2"/>
    </row>
    <row r="2" spans="1:6" s="15" customFormat="1" ht="20.100000000000001" customHeight="1">
      <c r="A2" s="37"/>
      <c r="B2" s="64" t="s">
        <v>1</v>
      </c>
      <c r="C2" s="66"/>
      <c r="D2" s="14" t="s">
        <v>2</v>
      </c>
    </row>
    <row r="3" spans="1:6" s="15" customFormat="1" ht="20.100000000000001" customHeight="1">
      <c r="A3" s="473" t="s">
        <v>3</v>
      </c>
      <c r="B3" s="603" t="s">
        <v>4</v>
      </c>
      <c r="C3" s="191" t="s">
        <v>5</v>
      </c>
      <c r="D3" s="17" t="e">
        <f>SUM(#REF!)</f>
        <v>#REF!</v>
      </c>
    </row>
    <row r="4" spans="1:6" s="15" customFormat="1" ht="20.100000000000001" customHeight="1">
      <c r="A4" s="473"/>
      <c r="B4" s="474"/>
      <c r="C4" s="98" t="s">
        <v>6</v>
      </c>
      <c r="D4" s="17" t="e">
        <f>SUM(#REF!)</f>
        <v>#REF!</v>
      </c>
    </row>
    <row r="5" spans="1:6" s="15" customFormat="1" ht="24.95" customHeight="1">
      <c r="A5" s="473"/>
      <c r="B5" s="464" t="s">
        <v>7</v>
      </c>
      <c r="C5" s="98" t="s">
        <v>5</v>
      </c>
      <c r="D5" s="17" t="e">
        <f>SUM(#REF!)</f>
        <v>#REF!</v>
      </c>
    </row>
    <row r="6" spans="1:6" s="15" customFormat="1" ht="20.100000000000001" customHeight="1">
      <c r="A6" s="473"/>
      <c r="B6" s="442"/>
      <c r="C6" s="98" t="s">
        <v>6</v>
      </c>
      <c r="D6" s="17" t="e">
        <f>SUM(#REF!)</f>
        <v>#REF!</v>
      </c>
    </row>
    <row r="7" spans="1:6" s="15" customFormat="1" ht="20.100000000000001" customHeight="1">
      <c r="A7" s="473"/>
      <c r="B7" s="464" t="s">
        <v>8</v>
      </c>
      <c r="C7" s="92" t="s">
        <v>5</v>
      </c>
      <c r="D7" s="17" t="e">
        <f>SUM(#REF!)</f>
        <v>#REF!</v>
      </c>
      <c r="E7" s="34" t="e">
        <f>#REF!+#REF!</f>
        <v>#REF!</v>
      </c>
    </row>
    <row r="8" spans="1:6" s="15" customFormat="1" ht="20.100000000000001" customHeight="1">
      <c r="A8" s="473"/>
      <c r="B8" s="442"/>
      <c r="C8" s="92" t="s">
        <v>6</v>
      </c>
      <c r="D8" s="17" t="e">
        <f>SUM(#REF!)</f>
        <v>#REF!</v>
      </c>
    </row>
    <row r="9" spans="1:6" s="15" customFormat="1" ht="20.100000000000001" customHeight="1">
      <c r="A9" s="473"/>
      <c r="B9" s="603" t="s">
        <v>9</v>
      </c>
      <c r="C9" s="98" t="s">
        <v>5</v>
      </c>
      <c r="D9" s="17" t="e">
        <f>SUM(#REF!)</f>
        <v>#REF!</v>
      </c>
      <c r="E9" s="34" t="e">
        <f>#REF!+#REF!</f>
        <v>#REF!</v>
      </c>
      <c r="F9" s="310" t="e">
        <f>SUM(#REF!)</f>
        <v>#REF!</v>
      </c>
    </row>
    <row r="10" spans="1:6" s="15" customFormat="1" ht="20.100000000000001" customHeight="1">
      <c r="A10" s="473"/>
      <c r="B10" s="474"/>
      <c r="C10" s="98" t="s">
        <v>6</v>
      </c>
      <c r="D10" s="17" t="e">
        <f>SUM(#REF!)</f>
        <v>#REF!</v>
      </c>
    </row>
    <row r="11" spans="1:6" s="15" customFormat="1" ht="20.100000000000001" customHeight="1">
      <c r="A11" s="473"/>
      <c r="B11" s="464" t="s">
        <v>10</v>
      </c>
      <c r="C11" s="98" t="s">
        <v>5</v>
      </c>
      <c r="D11" s="17" t="e">
        <f>SUM(#REF!)</f>
        <v>#REF!</v>
      </c>
    </row>
    <row r="12" spans="1:6" s="15" customFormat="1" ht="20.100000000000001" customHeight="1">
      <c r="A12" s="473"/>
      <c r="B12" s="442"/>
      <c r="C12" s="98" t="s">
        <v>6</v>
      </c>
      <c r="D12" s="17" t="e">
        <f>SUM(#REF!)</f>
        <v>#REF!</v>
      </c>
    </row>
    <row r="13" spans="1:6" s="15" customFormat="1" ht="20.100000000000001" customHeight="1">
      <c r="A13" s="473"/>
      <c r="B13" s="442" t="s">
        <v>11</v>
      </c>
      <c r="C13" s="98" t="s">
        <v>5</v>
      </c>
      <c r="D13" s="17" t="e">
        <f>SUM(#REF!)</f>
        <v>#REF!</v>
      </c>
    </row>
    <row r="14" spans="1:6" s="15" customFormat="1" ht="20.100000000000001" customHeight="1">
      <c r="A14" s="473"/>
      <c r="B14" s="442"/>
      <c r="C14" s="98" t="s">
        <v>6</v>
      </c>
      <c r="D14" s="17" t="e">
        <f>SUM(#REF!)</f>
        <v>#REF!</v>
      </c>
    </row>
    <row r="15" spans="1:6" s="15" customFormat="1" ht="20.100000000000001" customHeight="1">
      <c r="A15" s="473"/>
      <c r="B15" s="442" t="s">
        <v>12</v>
      </c>
      <c r="C15" s="92" t="s">
        <v>5</v>
      </c>
      <c r="D15" s="17" t="e">
        <f>SUM(#REF!)</f>
        <v>#REF!</v>
      </c>
    </row>
    <row r="16" spans="1:6" s="15" customFormat="1" ht="20.100000000000001" customHeight="1">
      <c r="A16" s="473"/>
      <c r="B16" s="442"/>
      <c r="C16" s="92" t="s">
        <v>6</v>
      </c>
      <c r="D16" s="17" t="e">
        <f>SUM(#REF!)</f>
        <v>#REF!</v>
      </c>
    </row>
    <row r="17" spans="1:5" s="15" customFormat="1" ht="20.100000000000001" customHeight="1">
      <c r="A17" s="473"/>
      <c r="B17" s="472" t="s">
        <v>13</v>
      </c>
      <c r="C17" s="92" t="s">
        <v>5</v>
      </c>
      <c r="D17" s="17" t="e">
        <f>SUM(#REF!)</f>
        <v>#REF!</v>
      </c>
    </row>
    <row r="18" spans="1:5" s="15" customFormat="1" ht="20.100000000000001" customHeight="1">
      <c r="A18" s="473"/>
      <c r="B18" s="472"/>
      <c r="C18" s="92" t="s">
        <v>6</v>
      </c>
      <c r="D18" s="17" t="e">
        <f>SUM(#REF!)</f>
        <v>#REF!</v>
      </c>
      <c r="E18" s="23"/>
    </row>
    <row r="19" spans="1:5" s="15" customFormat="1" ht="20.100000000000001" customHeight="1">
      <c r="A19" s="473"/>
      <c r="B19" s="442" t="s">
        <v>14</v>
      </c>
      <c r="C19" s="92" t="s">
        <v>5</v>
      </c>
      <c r="D19" s="17" t="e">
        <f>SUM(#REF!)</f>
        <v>#REF!</v>
      </c>
    </row>
    <row r="20" spans="1:5" s="15" customFormat="1" ht="20.100000000000001" customHeight="1">
      <c r="A20" s="473"/>
      <c r="B20" s="442"/>
      <c r="C20" s="92" t="s">
        <v>6</v>
      </c>
      <c r="D20" s="17" t="e">
        <f>SUM(#REF!)</f>
        <v>#REF!</v>
      </c>
    </row>
    <row r="21" spans="1:5" s="15" customFormat="1" ht="20.100000000000001" customHeight="1">
      <c r="A21" s="473"/>
      <c r="B21" s="472" t="s">
        <v>15</v>
      </c>
      <c r="C21" s="92" t="s">
        <v>5</v>
      </c>
      <c r="D21" s="17" t="e">
        <f>SUM(#REF!)</f>
        <v>#REF!</v>
      </c>
    </row>
    <row r="22" spans="1:5" s="15" customFormat="1" ht="20.100000000000001" customHeight="1">
      <c r="A22" s="473"/>
      <c r="B22" s="472"/>
      <c r="C22" s="92" t="s">
        <v>6</v>
      </c>
      <c r="D22" s="17" t="e">
        <f>SUM(#REF!)</f>
        <v>#REF!</v>
      </c>
    </row>
    <row r="23" spans="1:5" s="15" customFormat="1" ht="20.100000000000001" customHeight="1">
      <c r="A23" s="473"/>
      <c r="B23" s="442" t="s">
        <v>16</v>
      </c>
      <c r="C23" s="92" t="s">
        <v>5</v>
      </c>
      <c r="D23" s="17" t="e">
        <f>SUM(#REF!)</f>
        <v>#REF!</v>
      </c>
    </row>
    <row r="24" spans="1:5" s="15" customFormat="1" ht="20.100000000000001" customHeight="1">
      <c r="A24" s="473"/>
      <c r="B24" s="442"/>
      <c r="C24" s="92" t="s">
        <v>6</v>
      </c>
      <c r="D24" s="17" t="e">
        <f>SUM(#REF!)</f>
        <v>#REF!</v>
      </c>
    </row>
    <row r="25" spans="1:5" s="15" customFormat="1" ht="20.100000000000001" customHeight="1">
      <c r="A25" s="473"/>
      <c r="B25" s="442" t="s">
        <v>17</v>
      </c>
      <c r="C25" s="92" t="s">
        <v>5</v>
      </c>
      <c r="D25" s="17" t="e">
        <f>SUM(#REF!)</f>
        <v>#REF!</v>
      </c>
    </row>
    <row r="26" spans="1:5" s="15" customFormat="1" ht="20.100000000000001" customHeight="1">
      <c r="A26" s="473"/>
      <c r="B26" s="442"/>
      <c r="C26" s="92" t="s">
        <v>6</v>
      </c>
      <c r="D26" s="17" t="e">
        <f>SUM(#REF!)</f>
        <v>#REF!</v>
      </c>
    </row>
    <row r="27" spans="1:5" s="15" customFormat="1" ht="20.100000000000001" customHeight="1">
      <c r="A27" s="473"/>
      <c r="B27" s="442" t="s">
        <v>18</v>
      </c>
      <c r="C27" s="92" t="s">
        <v>5</v>
      </c>
      <c r="D27" s="17" t="e">
        <f>SUM(#REF!)</f>
        <v>#REF!</v>
      </c>
    </row>
    <row r="28" spans="1:5" s="15" customFormat="1" ht="20.100000000000001" customHeight="1">
      <c r="A28" s="473"/>
      <c r="B28" s="442"/>
      <c r="C28" s="92" t="s">
        <v>6</v>
      </c>
      <c r="D28" s="17" t="e">
        <f>SUM(#REF!)</f>
        <v>#REF!</v>
      </c>
    </row>
    <row r="29" spans="1:5" s="15" customFormat="1" ht="20.100000000000001" customHeight="1">
      <c r="A29" s="473"/>
      <c r="B29" s="442" t="s">
        <v>19</v>
      </c>
      <c r="C29" s="92" t="s">
        <v>5</v>
      </c>
      <c r="D29" s="17" t="e">
        <f>SUM(#REF!)</f>
        <v>#REF!</v>
      </c>
      <c r="E29" s="43"/>
    </row>
    <row r="30" spans="1:5" s="15" customFormat="1" ht="20.100000000000001" customHeight="1">
      <c r="A30" s="473"/>
      <c r="B30" s="442"/>
      <c r="C30" s="92" t="s">
        <v>6</v>
      </c>
      <c r="D30" s="17" t="e">
        <f>SUM(#REF!)</f>
        <v>#REF!</v>
      </c>
    </row>
    <row r="31" spans="1:5" s="15" customFormat="1" ht="20.100000000000001" customHeight="1">
      <c r="A31" s="473"/>
      <c r="B31" s="442" t="s">
        <v>92</v>
      </c>
      <c r="C31" s="92" t="s">
        <v>5</v>
      </c>
      <c r="D31" s="17"/>
    </row>
    <row r="32" spans="1:5" s="15" customFormat="1" ht="20.100000000000001" customHeight="1">
      <c r="A32" s="473"/>
      <c r="B32" s="442"/>
      <c r="C32" s="92" t="s">
        <v>6</v>
      </c>
      <c r="D32" s="17"/>
    </row>
    <row r="33" spans="1:4" s="15" customFormat="1" ht="20.100000000000001" customHeight="1">
      <c r="A33" s="473"/>
      <c r="B33" s="442" t="s">
        <v>94</v>
      </c>
      <c r="C33" s="92" t="s">
        <v>5</v>
      </c>
      <c r="D33" s="17" t="e">
        <f>SUM(#REF!)</f>
        <v>#REF!</v>
      </c>
    </row>
    <row r="34" spans="1:4" s="15" customFormat="1" ht="20.100000000000001" customHeight="1">
      <c r="A34" s="473"/>
      <c r="B34" s="442"/>
      <c r="C34" s="92" t="s">
        <v>6</v>
      </c>
      <c r="D34" s="17" t="e">
        <f>SUM(#REF!)</f>
        <v>#REF!</v>
      </c>
    </row>
    <row r="35" spans="1:4" s="15" customFormat="1" ht="20.100000000000001" customHeight="1">
      <c r="A35" s="473"/>
      <c r="B35" s="442" t="s">
        <v>97</v>
      </c>
      <c r="C35" s="92" t="s">
        <v>5</v>
      </c>
      <c r="D35" s="17" t="e">
        <f>SUM(#REF!)</f>
        <v>#REF!</v>
      </c>
    </row>
    <row r="36" spans="1:4" s="15" customFormat="1" ht="20.100000000000001" customHeight="1">
      <c r="A36" s="473"/>
      <c r="B36" s="442"/>
      <c r="C36" s="92" t="s">
        <v>6</v>
      </c>
      <c r="D36" s="17" t="e">
        <f>SUM(#REF!)</f>
        <v>#REF!</v>
      </c>
    </row>
    <row r="37" spans="1:4" s="15" customFormat="1" ht="20.100000000000001" customHeight="1">
      <c r="A37" s="473"/>
      <c r="B37" s="442" t="s">
        <v>98</v>
      </c>
      <c r="C37" s="92" t="s">
        <v>5</v>
      </c>
      <c r="D37" s="17" t="e">
        <f>SUM(#REF!)</f>
        <v>#REF!</v>
      </c>
    </row>
    <row r="38" spans="1:4" s="15" customFormat="1" ht="20.100000000000001" customHeight="1">
      <c r="A38" s="473"/>
      <c r="B38" s="442"/>
      <c r="C38" s="92" t="s">
        <v>6</v>
      </c>
      <c r="D38" s="17" t="e">
        <f>SUM(#REF!)</f>
        <v>#REF!</v>
      </c>
    </row>
    <row r="39" spans="1:4" s="15" customFormat="1" ht="20.100000000000001" customHeight="1">
      <c r="A39" s="473"/>
      <c r="B39" s="442" t="s">
        <v>100</v>
      </c>
      <c r="C39" s="92" t="s">
        <v>5</v>
      </c>
      <c r="D39" s="17" t="e">
        <f>SUM(#REF!)</f>
        <v>#REF!</v>
      </c>
    </row>
    <row r="40" spans="1:4" s="15" customFormat="1" ht="20.100000000000001" customHeight="1">
      <c r="A40" s="473"/>
      <c r="B40" s="442"/>
      <c r="C40" s="92" t="s">
        <v>6</v>
      </c>
      <c r="D40" s="17" t="e">
        <f>SUM(#REF!)</f>
        <v>#REF!</v>
      </c>
    </row>
    <row r="41" spans="1:4" s="15" customFormat="1" ht="20.100000000000001" customHeight="1">
      <c r="A41" s="473"/>
      <c r="B41" s="442" t="s">
        <v>102</v>
      </c>
      <c r="C41" s="92" t="s">
        <v>5</v>
      </c>
      <c r="D41" s="17" t="e">
        <f>SUM(#REF!)</f>
        <v>#REF!</v>
      </c>
    </row>
    <row r="42" spans="1:4" s="15" customFormat="1" ht="20.100000000000001" customHeight="1">
      <c r="A42" s="473"/>
      <c r="B42" s="442"/>
      <c r="C42" s="92" t="s">
        <v>6</v>
      </c>
      <c r="D42" s="17" t="e">
        <f>SUM(#REF!)</f>
        <v>#REF!</v>
      </c>
    </row>
    <row r="43" spans="1:4" s="15" customFormat="1" ht="20.100000000000001" customHeight="1">
      <c r="A43" s="473"/>
      <c r="B43" s="442" t="s">
        <v>103</v>
      </c>
      <c r="C43" s="92" t="s">
        <v>5</v>
      </c>
      <c r="D43" s="17" t="e">
        <f>SUM(#REF!)</f>
        <v>#REF!</v>
      </c>
    </row>
    <row r="44" spans="1:4" s="15" customFormat="1" ht="20.100000000000001" customHeight="1">
      <c r="A44" s="473"/>
      <c r="B44" s="442"/>
      <c r="C44" s="92" t="s">
        <v>6</v>
      </c>
      <c r="D44" s="17" t="e">
        <f>SUM(#REF!)</f>
        <v>#REF!</v>
      </c>
    </row>
    <row r="45" spans="1:4" s="15" customFormat="1" ht="20.100000000000001" customHeight="1">
      <c r="A45" s="473"/>
      <c r="B45" s="442" t="s">
        <v>104</v>
      </c>
      <c r="C45" s="92" t="s">
        <v>5</v>
      </c>
      <c r="D45" s="17" t="e">
        <f>SUM(#REF!)</f>
        <v>#REF!</v>
      </c>
    </row>
    <row r="46" spans="1:4" s="15" customFormat="1" ht="20.100000000000001" customHeight="1">
      <c r="A46" s="473"/>
      <c r="B46" s="442"/>
      <c r="C46" s="92" t="s">
        <v>6</v>
      </c>
      <c r="D46" s="17" t="e">
        <f>SUM(#REF!)</f>
        <v>#REF!</v>
      </c>
    </row>
    <row r="47" spans="1:4" s="15" customFormat="1" ht="20.100000000000001" customHeight="1">
      <c r="A47" s="473"/>
      <c r="B47" s="442" t="s">
        <v>105</v>
      </c>
      <c r="C47" s="92" t="s">
        <v>5</v>
      </c>
      <c r="D47" s="17" t="e">
        <f>SUM(#REF!)</f>
        <v>#REF!</v>
      </c>
    </row>
    <row r="48" spans="1:4" s="15" customFormat="1" ht="20.100000000000001" customHeight="1">
      <c r="A48" s="473"/>
      <c r="B48" s="442"/>
      <c r="C48" s="92" t="s">
        <v>6</v>
      </c>
      <c r="D48" s="17"/>
    </row>
    <row r="49" spans="1:4" s="15" customFormat="1" ht="20.100000000000001" customHeight="1">
      <c r="A49" s="473"/>
      <c r="B49" s="371" t="s">
        <v>229</v>
      </c>
      <c r="C49" s="92" t="s">
        <v>5</v>
      </c>
      <c r="D49" s="17"/>
    </row>
    <row r="50" spans="1:4" s="15" customFormat="1" ht="20.100000000000001" customHeight="1">
      <c r="A50" s="473"/>
      <c r="B50" s="372"/>
      <c r="C50" s="187" t="s">
        <v>6</v>
      </c>
      <c r="D50" s="17"/>
    </row>
    <row r="51" spans="1:4" s="15" customFormat="1" ht="20.100000000000001" customHeight="1">
      <c r="A51" s="473"/>
      <c r="B51" s="442" t="s">
        <v>106</v>
      </c>
      <c r="C51" s="92" t="s">
        <v>5</v>
      </c>
      <c r="D51" s="17" t="e">
        <f>SUM(#REF!)</f>
        <v>#REF!</v>
      </c>
    </row>
    <row r="52" spans="1:4" s="15" customFormat="1" ht="20.100000000000001" customHeight="1">
      <c r="A52" s="473"/>
      <c r="B52" s="442"/>
      <c r="C52" s="92" t="s">
        <v>6</v>
      </c>
      <c r="D52" s="17"/>
    </row>
    <row r="53" spans="1:4" s="15" customFormat="1" ht="20.100000000000001" customHeight="1">
      <c r="A53" s="473"/>
      <c r="B53" s="442" t="s">
        <v>107</v>
      </c>
      <c r="C53" s="92" t="s">
        <v>5</v>
      </c>
      <c r="D53" s="17" t="e">
        <f>SUM(#REF!)</f>
        <v>#REF!</v>
      </c>
    </row>
    <row r="54" spans="1:4" s="15" customFormat="1" ht="20.100000000000001" customHeight="1">
      <c r="A54" s="473"/>
      <c r="B54" s="442"/>
      <c r="C54" s="92" t="s">
        <v>6</v>
      </c>
      <c r="D54" s="17"/>
    </row>
    <row r="55" spans="1:4" s="15" customFormat="1" ht="20.100000000000001" customHeight="1">
      <c r="A55" s="473"/>
      <c r="B55" s="442" t="s">
        <v>108</v>
      </c>
      <c r="C55" s="92" t="s">
        <v>5</v>
      </c>
      <c r="D55" s="17" t="e">
        <f>SUM(#REF!)</f>
        <v>#REF!</v>
      </c>
    </row>
    <row r="56" spans="1:4" s="15" customFormat="1" ht="20.100000000000001" customHeight="1">
      <c r="A56" s="473"/>
      <c r="B56" s="442"/>
      <c r="C56" s="92" t="s">
        <v>6</v>
      </c>
      <c r="D56" s="17"/>
    </row>
    <row r="57" spans="1:4" s="15" customFormat="1" ht="20.100000000000001" customHeight="1">
      <c r="A57" s="473"/>
      <c r="B57" s="442" t="s">
        <v>109</v>
      </c>
      <c r="C57" s="92" t="s">
        <v>5</v>
      </c>
      <c r="D57" s="17" t="e">
        <f>SUM(#REF!)</f>
        <v>#REF!</v>
      </c>
    </row>
    <row r="58" spans="1:4" s="15" customFormat="1" ht="20.100000000000001" customHeight="1">
      <c r="A58" s="473"/>
      <c r="B58" s="442"/>
      <c r="C58" s="92" t="s">
        <v>6</v>
      </c>
      <c r="D58" s="17" t="e">
        <f>SUM(#REF!)</f>
        <v>#REF!</v>
      </c>
    </row>
    <row r="59" spans="1:4" s="15" customFormat="1" ht="20.100000000000001" customHeight="1">
      <c r="A59" s="473"/>
      <c r="B59" s="442" t="s">
        <v>110</v>
      </c>
      <c r="C59" s="92" t="s">
        <v>5</v>
      </c>
      <c r="D59" s="17" t="e">
        <f>SUM(#REF!)</f>
        <v>#REF!</v>
      </c>
    </row>
    <row r="60" spans="1:4" s="15" customFormat="1" ht="20.100000000000001" customHeight="1">
      <c r="A60" s="473"/>
      <c r="B60" s="442"/>
      <c r="C60" s="92" t="s">
        <v>6</v>
      </c>
      <c r="D60" s="17" t="e">
        <f>SUM(#REF!)</f>
        <v>#REF!</v>
      </c>
    </row>
    <row r="61" spans="1:4" s="15" customFormat="1" ht="20.100000000000001" customHeight="1">
      <c r="A61" s="473"/>
      <c r="B61" s="442" t="s">
        <v>111</v>
      </c>
      <c r="C61" s="92" t="s">
        <v>5</v>
      </c>
      <c r="D61" s="17" t="e">
        <f>SUM(#REF!)</f>
        <v>#REF!</v>
      </c>
    </row>
    <row r="62" spans="1:4" s="15" customFormat="1" ht="20.100000000000001" customHeight="1">
      <c r="A62" s="473"/>
      <c r="B62" s="442"/>
      <c r="C62" s="92" t="s">
        <v>6</v>
      </c>
      <c r="D62" s="17" t="e">
        <f>SUM(#REF!)</f>
        <v>#REF!</v>
      </c>
    </row>
    <row r="63" spans="1:4" s="15" customFormat="1" ht="20.100000000000001" customHeight="1">
      <c r="A63" s="473"/>
      <c r="B63" s="442" t="s">
        <v>112</v>
      </c>
      <c r="C63" s="92" t="s">
        <v>5</v>
      </c>
      <c r="D63" s="17" t="e">
        <f>SUM(#REF!)</f>
        <v>#REF!</v>
      </c>
    </row>
    <row r="64" spans="1:4" s="15" customFormat="1" ht="20.100000000000001" customHeight="1">
      <c r="A64" s="473"/>
      <c r="B64" s="442"/>
      <c r="C64" s="92" t="s">
        <v>6</v>
      </c>
      <c r="D64" s="17" t="e">
        <f>SUM(#REF!)</f>
        <v>#REF!</v>
      </c>
    </row>
    <row r="65" spans="1:4" s="15" customFormat="1" ht="20.100000000000001" customHeight="1">
      <c r="A65" s="473"/>
      <c r="B65" s="442" t="s">
        <v>113</v>
      </c>
      <c r="C65" s="92" t="s">
        <v>5</v>
      </c>
      <c r="D65" s="17" t="e">
        <f>SUM(#REF!)</f>
        <v>#REF!</v>
      </c>
    </row>
    <row r="66" spans="1:4" s="15" customFormat="1" ht="20.100000000000001" customHeight="1">
      <c r="A66" s="473"/>
      <c r="B66" s="442"/>
      <c r="C66" s="92" t="s">
        <v>6</v>
      </c>
      <c r="D66" s="17" t="e">
        <f>SUM(#REF!)</f>
        <v>#REF!</v>
      </c>
    </row>
    <row r="67" spans="1:4" s="15" customFormat="1" ht="20.100000000000001" customHeight="1">
      <c r="A67" s="473"/>
      <c r="B67" s="442" t="s">
        <v>26</v>
      </c>
      <c r="C67" s="92" t="s">
        <v>5</v>
      </c>
      <c r="D67" s="17" t="e">
        <f>SUM(#REF!)</f>
        <v>#REF!</v>
      </c>
    </row>
    <row r="68" spans="1:4" s="15" customFormat="1" ht="20.100000000000001" customHeight="1">
      <c r="A68" s="473"/>
      <c r="B68" s="442"/>
      <c r="C68" s="92" t="s">
        <v>6</v>
      </c>
      <c r="D68" s="17" t="e">
        <f>SUM(#REF!)</f>
        <v>#REF!</v>
      </c>
    </row>
    <row r="69" spans="1:4" s="15" customFormat="1" ht="20.100000000000001" customHeight="1">
      <c r="A69" s="473"/>
      <c r="B69" s="442" t="s">
        <v>114</v>
      </c>
      <c r="C69" s="92" t="s">
        <v>5</v>
      </c>
      <c r="D69" s="17" t="e">
        <f>SUM(#REF!)</f>
        <v>#REF!</v>
      </c>
    </row>
    <row r="70" spans="1:4" s="15" customFormat="1" ht="20.100000000000001" customHeight="1">
      <c r="A70" s="473"/>
      <c r="B70" s="442"/>
      <c r="C70" s="92" t="s">
        <v>6</v>
      </c>
      <c r="D70" s="17" t="e">
        <f>SUM(#REF!)</f>
        <v>#REF!</v>
      </c>
    </row>
    <row r="71" spans="1:4" s="15" customFormat="1" ht="20.100000000000001" customHeight="1">
      <c r="A71" s="473"/>
      <c r="B71" s="442" t="s">
        <v>133</v>
      </c>
      <c r="C71" s="92" t="s">
        <v>5</v>
      </c>
      <c r="D71" s="17" t="e">
        <f>SUM(#REF!)</f>
        <v>#REF!</v>
      </c>
    </row>
    <row r="72" spans="1:4" s="15" customFormat="1" ht="20.100000000000001" customHeight="1">
      <c r="A72" s="473"/>
      <c r="B72" s="442"/>
      <c r="C72" s="92" t="s">
        <v>6</v>
      </c>
      <c r="D72" s="17" t="e">
        <f>SUM(#REF!)</f>
        <v>#REF!</v>
      </c>
    </row>
    <row r="73" spans="1:4" s="15" customFormat="1" ht="20.100000000000001" customHeight="1">
      <c r="A73" s="473"/>
      <c r="B73" s="442" t="s">
        <v>131</v>
      </c>
      <c r="C73" s="92" t="s">
        <v>5</v>
      </c>
      <c r="D73" s="17" t="e">
        <f>SUM(#REF!)</f>
        <v>#REF!</v>
      </c>
    </row>
    <row r="74" spans="1:4" s="15" customFormat="1" ht="20.100000000000001" customHeight="1">
      <c r="A74" s="473"/>
      <c r="B74" s="442"/>
      <c r="C74" s="92" t="s">
        <v>6</v>
      </c>
      <c r="D74" s="17" t="e">
        <f>SUM(#REF!)</f>
        <v>#REF!</v>
      </c>
    </row>
    <row r="75" spans="1:4" s="15" customFormat="1" ht="20.100000000000001" customHeight="1">
      <c r="A75" s="473"/>
      <c r="B75" s="442" t="s">
        <v>115</v>
      </c>
      <c r="C75" s="92" t="s">
        <v>5</v>
      </c>
      <c r="D75" s="17" t="e">
        <f>SUM(#REF!)</f>
        <v>#REF!</v>
      </c>
    </row>
    <row r="76" spans="1:4" s="15" customFormat="1" ht="20.100000000000001" customHeight="1">
      <c r="A76" s="473"/>
      <c r="B76" s="442"/>
      <c r="C76" s="92" t="s">
        <v>6</v>
      </c>
      <c r="D76" s="17" t="e">
        <f>SUM(#REF!)</f>
        <v>#REF!</v>
      </c>
    </row>
    <row r="77" spans="1:4" s="15" customFormat="1" ht="20.100000000000001" customHeight="1">
      <c r="A77" s="473"/>
      <c r="B77" s="442" t="s">
        <v>27</v>
      </c>
      <c r="C77" s="92" t="s">
        <v>5</v>
      </c>
      <c r="D77" s="17" t="e">
        <f>SUM(#REF!)</f>
        <v>#REF!</v>
      </c>
    </row>
    <row r="78" spans="1:4" s="15" customFormat="1" ht="20.100000000000001" customHeight="1">
      <c r="A78" s="473"/>
      <c r="B78" s="442"/>
      <c r="C78" s="92" t="s">
        <v>6</v>
      </c>
      <c r="D78" s="17" t="e">
        <f>SUM(#REF!)</f>
        <v>#REF!</v>
      </c>
    </row>
    <row r="79" spans="1:4" s="15" customFormat="1" ht="20.100000000000001" customHeight="1">
      <c r="A79" s="473"/>
      <c r="B79" s="442" t="s">
        <v>37</v>
      </c>
      <c r="C79" s="92" t="s">
        <v>5</v>
      </c>
      <c r="D79" s="17" t="e">
        <f>SUM(#REF!)</f>
        <v>#REF!</v>
      </c>
    </row>
    <row r="80" spans="1:4" s="15" customFormat="1" ht="20.100000000000001" customHeight="1">
      <c r="A80" s="473"/>
      <c r="B80" s="442"/>
      <c r="C80" s="92" t="s">
        <v>6</v>
      </c>
      <c r="D80" s="17" t="e">
        <f>SUM(#REF!)</f>
        <v>#REF!</v>
      </c>
    </row>
    <row r="81" spans="1:8" s="15" customFormat="1" ht="20.100000000000001" customHeight="1">
      <c r="A81" s="473"/>
      <c r="B81" s="464" t="s">
        <v>230</v>
      </c>
      <c r="C81" s="92" t="s">
        <v>5</v>
      </c>
      <c r="D81" s="17" t="e">
        <f>SUM(#REF!)</f>
        <v>#REF!</v>
      </c>
    </row>
    <row r="82" spans="1:8" s="15" customFormat="1" ht="20.100000000000001" customHeight="1">
      <c r="A82" s="473"/>
      <c r="B82" s="442"/>
      <c r="C82" s="92" t="s">
        <v>6</v>
      </c>
      <c r="D82" s="17" t="e">
        <f>SUM(#REF!)</f>
        <v>#REF!</v>
      </c>
    </row>
    <row r="83" spans="1:8" s="15" customFormat="1" ht="20.100000000000001" customHeight="1">
      <c r="A83" s="473"/>
      <c r="B83" s="464" t="s">
        <v>231</v>
      </c>
      <c r="C83" s="92" t="s">
        <v>5</v>
      </c>
      <c r="D83" s="17" t="e">
        <f>SUM(#REF!)</f>
        <v>#REF!</v>
      </c>
    </row>
    <row r="84" spans="1:8" s="15" customFormat="1" ht="20.100000000000001" customHeight="1">
      <c r="A84" s="473"/>
      <c r="B84" s="442"/>
      <c r="C84" s="92" t="s">
        <v>6</v>
      </c>
      <c r="D84" s="17" t="e">
        <f>SUM(#REF!)</f>
        <v>#REF!</v>
      </c>
    </row>
    <row r="85" spans="1:8" s="15" customFormat="1" ht="20.100000000000001" customHeight="1">
      <c r="A85" s="473"/>
      <c r="B85" s="464" t="s">
        <v>232</v>
      </c>
      <c r="C85" s="92" t="s">
        <v>5</v>
      </c>
      <c r="D85" s="17" t="e">
        <f>SUM(#REF!)</f>
        <v>#REF!</v>
      </c>
    </row>
    <row r="86" spans="1:8" s="15" customFormat="1" ht="20.100000000000001" customHeight="1">
      <c r="A86" s="473"/>
      <c r="B86" s="442"/>
      <c r="C86" s="92" t="s">
        <v>6</v>
      </c>
      <c r="D86" s="17" t="e">
        <f>SUM(#REF!)</f>
        <v>#REF!</v>
      </c>
    </row>
    <row r="87" spans="1:8" s="15" customFormat="1" ht="20.100000000000001" customHeight="1">
      <c r="A87" s="473"/>
      <c r="B87" s="465" t="s">
        <v>143</v>
      </c>
      <c r="C87" s="92" t="s">
        <v>5</v>
      </c>
      <c r="D87" s="17" t="e">
        <f>SUM(#REF!)</f>
        <v>#REF!</v>
      </c>
    </row>
    <row r="88" spans="1:8" s="15" customFormat="1" ht="20.100000000000001" customHeight="1">
      <c r="A88" s="473"/>
      <c r="B88" s="372"/>
      <c r="C88" s="92" t="s">
        <v>6</v>
      </c>
      <c r="D88" s="17" t="e">
        <f>SUM(#REF!)</f>
        <v>#REF!</v>
      </c>
    </row>
    <row r="89" spans="1:8" s="15" customFormat="1" ht="20.100000000000001" customHeight="1">
      <c r="A89" s="473"/>
      <c r="B89" s="371" t="s">
        <v>246</v>
      </c>
      <c r="C89" s="92" t="s">
        <v>5</v>
      </c>
      <c r="D89" s="17" t="e">
        <f>SUM(#REF!)</f>
        <v>#REF!</v>
      </c>
    </row>
    <row r="90" spans="1:8" s="15" customFormat="1" ht="20.100000000000001" customHeight="1">
      <c r="A90" s="473"/>
      <c r="B90" s="372"/>
      <c r="C90" s="92" t="s">
        <v>6</v>
      </c>
      <c r="D90" s="17" t="e">
        <f>SUM(#REF!)</f>
        <v>#REF!</v>
      </c>
    </row>
    <row r="91" spans="1:8" s="15" customFormat="1" ht="20.100000000000001" customHeight="1">
      <c r="A91" s="473"/>
      <c r="B91" s="442" t="s">
        <v>95</v>
      </c>
      <c r="C91" s="92" t="s">
        <v>5</v>
      </c>
      <c r="D91" s="17" t="e">
        <f>SUM(#REF!)</f>
        <v>#REF!</v>
      </c>
    </row>
    <row r="92" spans="1:8" s="15" customFormat="1" ht="20.100000000000001" customHeight="1">
      <c r="A92" s="473"/>
      <c r="B92" s="442"/>
      <c r="C92" s="92" t="s">
        <v>6</v>
      </c>
      <c r="D92" s="17" t="e">
        <f>SUM(#REF!)</f>
        <v>#REF!</v>
      </c>
    </row>
    <row r="93" spans="1:8" s="15" customFormat="1" ht="20.100000000000001" customHeight="1">
      <c r="A93" s="473"/>
      <c r="B93" s="442" t="s">
        <v>38</v>
      </c>
      <c r="C93" s="92" t="s">
        <v>5</v>
      </c>
      <c r="D93" s="17" t="e">
        <f>SUM(#REF!)</f>
        <v>#REF!</v>
      </c>
    </row>
    <row r="94" spans="1:8" s="15" customFormat="1" ht="20.100000000000001" customHeight="1">
      <c r="A94" s="473"/>
      <c r="B94" s="442"/>
      <c r="C94" s="92" t="s">
        <v>6</v>
      </c>
      <c r="D94" s="17" t="e">
        <f>SUM(#REF!)</f>
        <v>#REF!</v>
      </c>
    </row>
    <row r="95" spans="1:8" s="15" customFormat="1" ht="20.100000000000001" customHeight="1">
      <c r="A95" s="473"/>
      <c r="B95" s="93" t="s">
        <v>28</v>
      </c>
      <c r="C95" s="99"/>
      <c r="D95" s="17" t="e">
        <f>SUM(#REF!)</f>
        <v>#REF!</v>
      </c>
    </row>
    <row r="96" spans="1:8" s="15" customFormat="1" ht="20.100000000000001" customHeight="1">
      <c r="A96" s="473"/>
      <c r="B96" s="443" t="s">
        <v>29</v>
      </c>
      <c r="C96" s="443"/>
      <c r="D96" s="17" t="e">
        <f>SUM(#REF!)</f>
        <v>#REF!</v>
      </c>
      <c r="E96" s="23" t="e">
        <f>SUM(#REF!)</f>
        <v>#REF!</v>
      </c>
      <c r="G96" s="43" t="e">
        <f>D96+F96</f>
        <v>#REF!</v>
      </c>
      <c r="H96" s="23" t="e">
        <f>#REF!+#REF!</f>
        <v>#REF!</v>
      </c>
    </row>
    <row r="97" spans="1:4" s="15" customFormat="1" ht="20.100000000000001" customHeight="1">
      <c r="A97" s="444" t="s">
        <v>30</v>
      </c>
      <c r="B97" s="123" t="s">
        <v>142</v>
      </c>
      <c r="C97" s="22" t="s">
        <v>5</v>
      </c>
      <c r="D97" s="17" t="e">
        <f>SUM(#REF!)</f>
        <v>#REF!</v>
      </c>
    </row>
    <row r="98" spans="1:4" s="15" customFormat="1" ht="20.100000000000001" customHeight="1">
      <c r="A98" s="445"/>
      <c r="B98" s="40" t="s">
        <v>31</v>
      </c>
      <c r="C98" s="22" t="s">
        <v>5</v>
      </c>
      <c r="D98" s="17" t="e">
        <f>SUM(#REF!)</f>
        <v>#REF!</v>
      </c>
    </row>
    <row r="99" spans="1:4" s="15" customFormat="1" ht="20.100000000000001" customHeight="1">
      <c r="A99" s="445"/>
      <c r="B99" s="39" t="s">
        <v>116</v>
      </c>
      <c r="C99" s="76" t="s">
        <v>5</v>
      </c>
      <c r="D99" s="88" t="e">
        <f>SUM(#REF!)</f>
        <v>#REF!</v>
      </c>
    </row>
    <row r="100" spans="1:4" s="15" customFormat="1" ht="20.100000000000001" customHeight="1">
      <c r="A100" s="446"/>
      <c r="B100" s="84" t="s">
        <v>117</v>
      </c>
      <c r="C100" s="85" t="s">
        <v>5</v>
      </c>
      <c r="D100" s="86" t="e">
        <f>SUM(#REF!)</f>
        <v>#REF!</v>
      </c>
    </row>
    <row r="101" spans="1:4" s="15" customFormat="1" ht="20.100000000000001" customHeight="1">
      <c r="A101" s="446"/>
      <c r="B101" s="101" t="s">
        <v>118</v>
      </c>
      <c r="C101" s="85" t="s">
        <v>5</v>
      </c>
      <c r="D101" s="87"/>
    </row>
    <row r="102" spans="1:4" s="15" customFormat="1" ht="20.100000000000001" customHeight="1">
      <c r="A102" s="446"/>
      <c r="B102" s="101" t="s">
        <v>119</v>
      </c>
      <c r="C102" s="85" t="s">
        <v>5</v>
      </c>
      <c r="D102" s="87"/>
    </row>
    <row r="103" spans="1:4" s="15" customFormat="1" ht="20.100000000000001" customHeight="1">
      <c r="A103" s="445"/>
      <c r="B103" s="89" t="s">
        <v>120</v>
      </c>
      <c r="C103" s="77" t="s">
        <v>5</v>
      </c>
      <c r="D103" s="90" t="e">
        <f>SUM(#REF!)</f>
        <v>#REF!</v>
      </c>
    </row>
    <row r="104" spans="1:4" s="15" customFormat="1" ht="20.100000000000001" customHeight="1">
      <c r="A104" s="445"/>
      <c r="B104" s="38" t="s">
        <v>121</v>
      </c>
      <c r="C104" s="22" t="s">
        <v>5</v>
      </c>
      <c r="D104" s="17" t="e">
        <f>SUM(#REF!)</f>
        <v>#REF!</v>
      </c>
    </row>
    <row r="105" spans="1:4" s="15" customFormat="1" ht="20.100000000000001" customHeight="1">
      <c r="A105" s="445"/>
      <c r="B105" s="38" t="s">
        <v>122</v>
      </c>
      <c r="C105" s="22" t="s">
        <v>5</v>
      </c>
      <c r="D105" s="17" t="e">
        <f>SUM(#REF!)</f>
        <v>#REF!</v>
      </c>
    </row>
    <row r="106" spans="1:4" s="15" customFormat="1" ht="20.100000000000001" customHeight="1">
      <c r="A106" s="445"/>
      <c r="B106" s="38" t="s">
        <v>123</v>
      </c>
      <c r="C106" s="22" t="s">
        <v>5</v>
      </c>
      <c r="D106" s="17" t="e">
        <f>SUM(#REF!)</f>
        <v>#REF!</v>
      </c>
    </row>
    <row r="107" spans="1:4" s="15" customFormat="1" ht="20.100000000000001" customHeight="1">
      <c r="A107" s="445"/>
      <c r="B107" s="38" t="s">
        <v>124</v>
      </c>
      <c r="C107" s="22" t="s">
        <v>5</v>
      </c>
      <c r="D107" s="17" t="e">
        <f>SUM(#REF!)</f>
        <v>#REF!</v>
      </c>
    </row>
    <row r="108" spans="1:4" s="15" customFormat="1" ht="20.100000000000001" customHeight="1">
      <c r="A108" s="445"/>
      <c r="B108" s="38" t="s">
        <v>125</v>
      </c>
      <c r="C108" s="22" t="s">
        <v>5</v>
      </c>
      <c r="D108" s="17" t="e">
        <f>SUM(#REF!)</f>
        <v>#REF!</v>
      </c>
    </row>
    <row r="109" spans="1:4" s="15" customFormat="1" ht="20.100000000000001" customHeight="1">
      <c r="A109" s="445"/>
      <c r="B109" s="38" t="s">
        <v>91</v>
      </c>
      <c r="C109" s="22" t="s">
        <v>5</v>
      </c>
      <c r="D109" s="17" t="e">
        <f>SUM(#REF!)</f>
        <v>#REF!</v>
      </c>
    </row>
    <row r="110" spans="1:4" s="15" customFormat="1" ht="20.100000000000001" customHeight="1">
      <c r="A110" s="445"/>
      <c r="B110" s="38" t="s">
        <v>93</v>
      </c>
      <c r="C110" s="22" t="s">
        <v>5</v>
      </c>
      <c r="D110" s="17" t="e">
        <f>SUM(#REF!)</f>
        <v>#REF!</v>
      </c>
    </row>
    <row r="111" spans="1:4" s="15" customFormat="1" ht="20.100000000000001" customHeight="1">
      <c r="A111" s="445"/>
      <c r="B111" s="39" t="s">
        <v>96</v>
      </c>
      <c r="C111" s="22" t="s">
        <v>5</v>
      </c>
      <c r="D111" s="17" t="e">
        <f>SUM(#REF!)</f>
        <v>#REF!</v>
      </c>
    </row>
    <row r="112" spans="1:4" s="15" customFormat="1" ht="20.100000000000001" customHeight="1">
      <c r="A112" s="445"/>
      <c r="B112" s="39" t="s">
        <v>24</v>
      </c>
      <c r="C112" s="22" t="s">
        <v>5</v>
      </c>
      <c r="D112" s="17" t="e">
        <f>SUM(#REF!)</f>
        <v>#REF!</v>
      </c>
    </row>
    <row r="113" spans="1:6" s="15" customFormat="1" ht="20.100000000000001" customHeight="1">
      <c r="A113" s="445"/>
      <c r="B113" s="39" t="s">
        <v>99</v>
      </c>
      <c r="C113" s="22" t="s">
        <v>5</v>
      </c>
      <c r="D113" s="17" t="e">
        <f>SUM(#REF!)</f>
        <v>#REF!</v>
      </c>
    </row>
    <row r="114" spans="1:6" s="15" customFormat="1" ht="20.100000000000001" customHeight="1">
      <c r="A114" s="445"/>
      <c r="B114" s="39" t="s">
        <v>101</v>
      </c>
      <c r="C114" s="22" t="s">
        <v>5</v>
      </c>
      <c r="D114" s="17" t="e">
        <f>SUM(#REF!)</f>
        <v>#REF!</v>
      </c>
    </row>
    <row r="115" spans="1:6" s="15" customFormat="1" ht="20.100000000000001" customHeight="1">
      <c r="A115" s="445"/>
      <c r="B115" s="38" t="s">
        <v>103</v>
      </c>
      <c r="C115" s="22" t="s">
        <v>5</v>
      </c>
      <c r="D115" s="17" t="e">
        <f>SUM(#REF!)</f>
        <v>#REF!</v>
      </c>
    </row>
    <row r="116" spans="1:6" s="15" customFormat="1" ht="20.100000000000001" customHeight="1">
      <c r="A116" s="445"/>
      <c r="B116" s="39" t="s">
        <v>128</v>
      </c>
      <c r="C116" s="22" t="s">
        <v>5</v>
      </c>
      <c r="D116" s="17" t="e">
        <f>SUM(#REF!)</f>
        <v>#REF!</v>
      </c>
    </row>
    <row r="117" spans="1:6" s="15" customFormat="1" ht="20.100000000000001" customHeight="1">
      <c r="A117" s="445"/>
      <c r="B117" s="39" t="s">
        <v>105</v>
      </c>
      <c r="C117" s="22" t="s">
        <v>5</v>
      </c>
      <c r="D117" s="17" t="e">
        <f>SUM(#REF!)</f>
        <v>#REF!</v>
      </c>
    </row>
    <row r="118" spans="1:6" s="15" customFormat="1" ht="20.100000000000001" customHeight="1">
      <c r="A118" s="445"/>
      <c r="B118" s="219" t="s">
        <v>229</v>
      </c>
      <c r="C118" s="22" t="s">
        <v>5</v>
      </c>
      <c r="D118" s="17"/>
    </row>
    <row r="119" spans="1:6" s="15" customFormat="1" ht="20.100000000000001" customHeight="1">
      <c r="A119" s="445"/>
      <c r="B119" s="39" t="s">
        <v>106</v>
      </c>
      <c r="C119" s="22" t="s">
        <v>5</v>
      </c>
      <c r="D119" s="17" t="e">
        <f>SUM(#REF!)</f>
        <v>#REF!</v>
      </c>
    </row>
    <row r="120" spans="1:6" s="15" customFormat="1" ht="20.100000000000001" customHeight="1">
      <c r="A120" s="445"/>
      <c r="B120" s="39" t="s">
        <v>107</v>
      </c>
      <c r="C120" s="22" t="s">
        <v>5</v>
      </c>
      <c r="D120" s="17" t="e">
        <f>SUM(#REF!)</f>
        <v>#REF!</v>
      </c>
    </row>
    <row r="121" spans="1:6" s="15" customFormat="1" ht="20.100000000000001" customHeight="1">
      <c r="A121" s="445"/>
      <c r="B121" s="39" t="s">
        <v>108</v>
      </c>
      <c r="C121" s="22" t="s">
        <v>5</v>
      </c>
      <c r="D121" s="17" t="e">
        <f>SUM(#REF!)</f>
        <v>#REF!</v>
      </c>
    </row>
    <row r="122" spans="1:6" s="15" customFormat="1" ht="20.100000000000001" customHeight="1">
      <c r="A122" s="445"/>
      <c r="B122" s="39" t="s">
        <v>109</v>
      </c>
      <c r="C122" s="22" t="s">
        <v>5</v>
      </c>
      <c r="D122" s="17" t="e">
        <f>SUM(#REF!)</f>
        <v>#REF!</v>
      </c>
      <c r="F122" s="23"/>
    </row>
    <row r="123" spans="1:6" s="15" customFormat="1" ht="20.100000000000001" customHeight="1">
      <c r="A123" s="445"/>
      <c r="B123" s="39" t="s">
        <v>110</v>
      </c>
      <c r="C123" s="22" t="s">
        <v>5</v>
      </c>
      <c r="D123" s="17" t="e">
        <f>SUM(#REF!)</f>
        <v>#REF!</v>
      </c>
    </row>
    <row r="124" spans="1:6" s="15" customFormat="1" ht="20.100000000000001" customHeight="1">
      <c r="A124" s="445"/>
      <c r="B124" s="39" t="s">
        <v>111</v>
      </c>
      <c r="C124" s="22" t="s">
        <v>5</v>
      </c>
      <c r="D124" s="17" t="e">
        <f>SUM(#REF!)</f>
        <v>#REF!</v>
      </c>
    </row>
    <row r="125" spans="1:6" s="15" customFormat="1" ht="20.100000000000001" customHeight="1">
      <c r="A125" s="445"/>
      <c r="B125" s="39" t="s">
        <v>112</v>
      </c>
      <c r="C125" s="22" t="s">
        <v>5</v>
      </c>
      <c r="D125" s="17" t="e">
        <f>SUM(#REF!)</f>
        <v>#REF!</v>
      </c>
    </row>
    <row r="126" spans="1:6" s="15" customFormat="1" ht="20.100000000000001" customHeight="1">
      <c r="A126" s="445"/>
      <c r="B126" s="39" t="s">
        <v>113</v>
      </c>
      <c r="C126" s="22" t="s">
        <v>5</v>
      </c>
      <c r="D126" s="17" t="e">
        <f>SUM(#REF!)</f>
        <v>#REF!</v>
      </c>
    </row>
    <row r="127" spans="1:6" s="15" customFormat="1" ht="20.100000000000001" customHeight="1">
      <c r="A127" s="445"/>
      <c r="B127" s="39" t="s">
        <v>26</v>
      </c>
      <c r="C127" s="22" t="s">
        <v>5</v>
      </c>
      <c r="D127" s="17" t="e">
        <f>SUM(#REF!)</f>
        <v>#REF!</v>
      </c>
    </row>
    <row r="128" spans="1:6" s="15" customFormat="1" ht="20.100000000000001" customHeight="1">
      <c r="A128" s="445"/>
      <c r="B128" s="39" t="s">
        <v>114</v>
      </c>
      <c r="C128" s="22" t="s">
        <v>5</v>
      </c>
      <c r="D128" s="17" t="e">
        <f>SUM(#REF!)</f>
        <v>#REF!</v>
      </c>
    </row>
    <row r="129" spans="1:9" s="15" customFormat="1" ht="20.100000000000001" customHeight="1">
      <c r="A129" s="445"/>
      <c r="B129" s="39" t="s">
        <v>133</v>
      </c>
      <c r="C129" s="361" t="s">
        <v>5</v>
      </c>
      <c r="D129" s="17" t="e">
        <f>SUM(#REF!)</f>
        <v>#REF!</v>
      </c>
    </row>
    <row r="130" spans="1:9" s="15" customFormat="1" ht="19.5" customHeight="1">
      <c r="A130" s="445"/>
      <c r="B130" s="39" t="s">
        <v>131</v>
      </c>
      <c r="C130" s="22" t="s">
        <v>5</v>
      </c>
      <c r="D130" s="17" t="e">
        <f>SUM(#REF!)</f>
        <v>#REF!</v>
      </c>
    </row>
    <row r="131" spans="1:9" s="15" customFormat="1" ht="20.100000000000001" customHeight="1">
      <c r="A131" s="445"/>
      <c r="B131" s="39" t="s">
        <v>115</v>
      </c>
      <c r="C131" s="22" t="s">
        <v>5</v>
      </c>
      <c r="D131" s="17" t="e">
        <f>SUM(#REF!)</f>
        <v>#REF!</v>
      </c>
    </row>
    <row r="132" spans="1:9" s="15" customFormat="1" ht="20.100000000000001" customHeight="1">
      <c r="A132" s="445"/>
      <c r="B132" s="39" t="s">
        <v>27</v>
      </c>
      <c r="C132" s="22" t="s">
        <v>5</v>
      </c>
      <c r="D132" s="17" t="e">
        <f>SUM(#REF!)</f>
        <v>#REF!</v>
      </c>
    </row>
    <row r="133" spans="1:9" s="15" customFormat="1" ht="19.5" customHeight="1">
      <c r="A133" s="445"/>
      <c r="B133" s="39" t="s">
        <v>37</v>
      </c>
      <c r="C133" s="22" t="s">
        <v>5</v>
      </c>
      <c r="D133" s="17" t="e">
        <f>SUM(#REF!)</f>
        <v>#REF!</v>
      </c>
    </row>
    <row r="134" spans="1:9" s="15" customFormat="1" ht="20.100000000000001" customHeight="1">
      <c r="A134" s="445"/>
      <c r="B134" s="219" t="s">
        <v>230</v>
      </c>
      <c r="C134" s="22" t="s">
        <v>5</v>
      </c>
      <c r="D134" s="17"/>
    </row>
    <row r="135" spans="1:9" s="15" customFormat="1" ht="20.100000000000001" customHeight="1">
      <c r="A135" s="445"/>
      <c r="B135" s="219" t="s">
        <v>231</v>
      </c>
      <c r="C135" s="22" t="s">
        <v>5</v>
      </c>
      <c r="D135" s="17"/>
    </row>
    <row r="136" spans="1:9" s="15" customFormat="1" ht="20.100000000000001" customHeight="1">
      <c r="A136" s="445"/>
      <c r="B136" s="219" t="s">
        <v>233</v>
      </c>
      <c r="C136" s="22" t="s">
        <v>5</v>
      </c>
      <c r="D136" s="17"/>
    </row>
    <row r="137" spans="1:9" s="15" customFormat="1" ht="20.100000000000001" customHeight="1">
      <c r="A137" s="445"/>
      <c r="B137" s="219" t="s">
        <v>246</v>
      </c>
      <c r="C137" s="22" t="s">
        <v>5</v>
      </c>
      <c r="D137" s="17"/>
      <c r="G137" s="43" t="e">
        <f>D142+'YAMATO2308~2407 '!H7</f>
        <v>#REF!</v>
      </c>
    </row>
    <row r="138" spans="1:9" s="15" customFormat="1" ht="20.100000000000001" customHeight="1">
      <c r="A138" s="445"/>
      <c r="B138" s="124" t="s">
        <v>143</v>
      </c>
      <c r="C138" s="22" t="s">
        <v>5</v>
      </c>
      <c r="D138" s="17"/>
    </row>
    <row r="139" spans="1:9" s="15" customFormat="1" ht="20.100000000000001" customHeight="1">
      <c r="A139" s="445"/>
      <c r="B139" s="39" t="s">
        <v>95</v>
      </c>
      <c r="C139" s="22" t="s">
        <v>5</v>
      </c>
      <c r="D139" s="17" t="e">
        <f>SUM(#REF!)</f>
        <v>#REF!</v>
      </c>
    </row>
    <row r="140" spans="1:9" s="15" customFormat="1" ht="20.100000000000001" customHeight="1">
      <c r="A140" s="445"/>
      <c r="B140" s="100" t="s">
        <v>38</v>
      </c>
      <c r="C140" s="22" t="s">
        <v>5</v>
      </c>
      <c r="D140" s="17" t="e">
        <f>SUM(#REF!)</f>
        <v>#REF!</v>
      </c>
      <c r="E140" s="23"/>
    </row>
    <row r="141" spans="1:9" s="15" customFormat="1" ht="20.100000000000001" customHeight="1">
      <c r="A141" s="445"/>
      <c r="B141" s="41" t="s">
        <v>126</v>
      </c>
      <c r="C141" s="42"/>
      <c r="D141" s="17" t="e">
        <f>SUM(#REF!)</f>
        <v>#REF!</v>
      </c>
      <c r="E141" s="23" t="e">
        <f>#REF!-#REF!</f>
        <v>#REF!</v>
      </c>
      <c r="F141" s="43" t="e">
        <f>D142+E141</f>
        <v>#REF!</v>
      </c>
      <c r="G141" s="23"/>
    </row>
    <row r="142" spans="1:9" s="15" customFormat="1" ht="20.100000000000001" customHeight="1">
      <c r="A142" s="480" t="s">
        <v>39</v>
      </c>
      <c r="B142" s="481"/>
      <c r="C142" s="481"/>
      <c r="D142" s="17" t="e">
        <f>SUM(#REF!)</f>
        <v>#REF!</v>
      </c>
      <c r="E142" s="221" t="e">
        <f>E141/#REF!</f>
        <v>#REF!</v>
      </c>
      <c r="F142" s="43" t="e">
        <f>F141-G96</f>
        <v>#REF!</v>
      </c>
      <c r="H142" s="308" t="s">
        <v>301</v>
      </c>
      <c r="I142" s="23" t="e">
        <f>#REF!+#REF!+#REF!+#REF!+#REF!+#REF!+#REF!+#REF!+#REF!+#REF!+#REF!+#REF!+#REF!+#REF!+#REF!</f>
        <v>#REF!</v>
      </c>
    </row>
    <row r="143" spans="1:9" s="15" customFormat="1" ht="20.100000000000001" customHeight="1">
      <c r="A143" s="482" t="s">
        <v>40</v>
      </c>
      <c r="B143" s="483"/>
      <c r="C143" s="483"/>
      <c r="D143" s="17" t="e">
        <f>SUM(#REF!)</f>
        <v>#REF!</v>
      </c>
      <c r="H143" s="308" t="s">
        <v>302</v>
      </c>
      <c r="I143" s="23" t="e">
        <f>#REF!+#REF!+#REF!+#REF!+#REF!+#REF!</f>
        <v>#REF!</v>
      </c>
    </row>
    <row r="144" spans="1:9" s="15" customFormat="1" ht="20.100000000000001" customHeight="1">
      <c r="A144" s="484"/>
      <c r="B144" s="485"/>
      <c r="C144" s="485"/>
      <c r="D144" s="26" t="e">
        <f>D143/D142</f>
        <v>#REF!</v>
      </c>
      <c r="H144" s="308" t="s">
        <v>303</v>
      </c>
      <c r="I144" s="23"/>
    </row>
    <row r="145" spans="1:4" s="15" customFormat="1" ht="20.100000000000001" customHeight="1">
      <c r="A145" s="486" t="s">
        <v>41</v>
      </c>
      <c r="B145" s="515" t="s">
        <v>42</v>
      </c>
      <c r="C145" s="516"/>
      <c r="D145" s="21" t="e">
        <f>SUM(#REF!)</f>
        <v>#REF!</v>
      </c>
    </row>
    <row r="146" spans="1:4" s="15" customFormat="1" ht="20.100000000000001" customHeight="1">
      <c r="A146" s="486"/>
      <c r="B146" s="515" t="s">
        <v>43</v>
      </c>
      <c r="C146" s="516"/>
      <c r="D146" s="24" t="e">
        <f>D145/(D11+D5)</f>
        <v>#REF!</v>
      </c>
    </row>
    <row r="147" spans="1:4" s="15" customFormat="1" ht="20.100000000000001" customHeight="1">
      <c r="A147" s="479" t="s">
        <v>44</v>
      </c>
      <c r="B147" s="432" t="s">
        <v>45</v>
      </c>
      <c r="C147" s="433"/>
      <c r="D147" s="21" t="e">
        <f>SUM(#REF!)</f>
        <v>#REF!</v>
      </c>
    </row>
    <row r="148" spans="1:4" s="15" customFormat="1" ht="20.100000000000001" customHeight="1">
      <c r="A148" s="460"/>
      <c r="B148" s="432"/>
      <c r="C148" s="433"/>
      <c r="D148" s="26" t="e">
        <f>D147/D97</f>
        <v>#REF!</v>
      </c>
    </row>
    <row r="149" spans="1:4" s="15" customFormat="1" ht="20.100000000000001" customHeight="1">
      <c r="A149" s="460"/>
      <c r="B149" s="432" t="s">
        <v>46</v>
      </c>
      <c r="C149" s="433"/>
      <c r="D149" s="21" t="e">
        <f>SUM(#REF!)</f>
        <v>#REF!</v>
      </c>
    </row>
    <row r="150" spans="1:4" s="15" customFormat="1" ht="20.100000000000001" customHeight="1">
      <c r="A150" s="460"/>
      <c r="B150" s="432"/>
      <c r="C150" s="433"/>
      <c r="D150" s="24" t="e">
        <f>D149/D98</f>
        <v>#REF!</v>
      </c>
    </row>
    <row r="151" spans="1:4" s="15" customFormat="1" ht="20.100000000000001" customHeight="1">
      <c r="A151" s="460"/>
      <c r="B151" s="432" t="s">
        <v>47</v>
      </c>
      <c r="C151" s="433"/>
      <c r="D151" s="21" t="e">
        <f>SUM(#REF!)</f>
        <v>#REF!</v>
      </c>
    </row>
    <row r="152" spans="1:4" s="15" customFormat="1" ht="20.100000000000001" customHeight="1">
      <c r="A152" s="460"/>
      <c r="B152" s="432"/>
      <c r="C152" s="433"/>
      <c r="D152" s="24" t="e">
        <f>D151/D99</f>
        <v>#REF!</v>
      </c>
    </row>
    <row r="153" spans="1:4" s="15" customFormat="1" ht="20.100000000000001" customHeight="1">
      <c r="A153" s="460"/>
      <c r="B153" s="432" t="s">
        <v>48</v>
      </c>
      <c r="C153" s="433"/>
      <c r="D153" s="27" t="e">
        <f>SUM(#REF!)</f>
        <v>#REF!</v>
      </c>
    </row>
    <row r="154" spans="1:4" s="15" customFormat="1" ht="20.100000000000001" customHeight="1">
      <c r="A154" s="460"/>
      <c r="B154" s="432"/>
      <c r="C154" s="433"/>
      <c r="D154" s="24" t="e">
        <f>D153/D100</f>
        <v>#REF!</v>
      </c>
    </row>
    <row r="155" spans="1:4" s="15" customFormat="1" ht="20.100000000000001" customHeight="1">
      <c r="A155" s="460"/>
      <c r="B155" s="438" t="s">
        <v>12</v>
      </c>
      <c r="C155" s="439"/>
      <c r="D155" s="21" t="e">
        <f>SUM(#REF!)</f>
        <v>#REF!</v>
      </c>
    </row>
    <row r="156" spans="1:4" s="15" customFormat="1" ht="20.100000000000001" customHeight="1">
      <c r="A156" s="460"/>
      <c r="B156" s="438"/>
      <c r="C156" s="439"/>
      <c r="D156" s="24" t="e">
        <f>D155/D103</f>
        <v>#REF!</v>
      </c>
    </row>
    <row r="157" spans="1:4" s="15" customFormat="1" ht="20.100000000000001" customHeight="1">
      <c r="A157" s="460"/>
      <c r="B157" s="438" t="s">
        <v>49</v>
      </c>
      <c r="C157" s="439"/>
      <c r="D157" s="21" t="e">
        <f>SUM(#REF!)</f>
        <v>#REF!</v>
      </c>
    </row>
    <row r="158" spans="1:4" s="15" customFormat="1" ht="20.100000000000001" customHeight="1">
      <c r="A158" s="460"/>
      <c r="B158" s="438"/>
      <c r="C158" s="439"/>
      <c r="D158" s="24" t="e">
        <f>D157/D104</f>
        <v>#REF!</v>
      </c>
    </row>
    <row r="159" spans="1:4" s="15" customFormat="1" ht="20.100000000000001" customHeight="1">
      <c r="A159" s="460"/>
      <c r="B159" s="438" t="s">
        <v>32</v>
      </c>
      <c r="C159" s="439"/>
      <c r="D159" s="21" t="e">
        <f>SUM(#REF!)</f>
        <v>#REF!</v>
      </c>
    </row>
    <row r="160" spans="1:4" s="15" customFormat="1" ht="20.100000000000001" customHeight="1">
      <c r="A160" s="460"/>
      <c r="B160" s="438"/>
      <c r="C160" s="439"/>
      <c r="D160" s="24" t="e">
        <f>D159/D105</f>
        <v>#REF!</v>
      </c>
    </row>
    <row r="161" spans="1:4" s="15" customFormat="1" ht="20.100000000000001" customHeight="1">
      <c r="A161" s="460"/>
      <c r="B161" s="418" t="s">
        <v>15</v>
      </c>
      <c r="C161" s="440"/>
      <c r="D161" s="21" t="e">
        <f>SUM(#REF!)</f>
        <v>#REF!</v>
      </c>
    </row>
    <row r="162" spans="1:4" s="15" customFormat="1" ht="20.100000000000001" customHeight="1">
      <c r="A162" s="460"/>
      <c r="B162" s="420"/>
      <c r="C162" s="441"/>
      <c r="D162" s="24" t="e">
        <f>D161/D106</f>
        <v>#REF!</v>
      </c>
    </row>
    <row r="163" spans="1:4" s="15" customFormat="1" ht="20.100000000000001" customHeight="1">
      <c r="A163" s="460"/>
      <c r="B163" s="418" t="s">
        <v>50</v>
      </c>
      <c r="C163" s="440"/>
      <c r="D163" s="21" t="e">
        <f>SUM(#REF!)</f>
        <v>#REF!</v>
      </c>
    </row>
    <row r="164" spans="1:4" s="15" customFormat="1" ht="20.100000000000001" customHeight="1">
      <c r="A164" s="460"/>
      <c r="B164" s="420"/>
      <c r="C164" s="441"/>
      <c r="D164" s="24" t="e">
        <f>D163/D107</f>
        <v>#REF!</v>
      </c>
    </row>
    <row r="165" spans="1:4" s="15" customFormat="1" ht="20.100000000000001" customHeight="1">
      <c r="A165" s="460"/>
      <c r="B165" s="416" t="s">
        <v>51</v>
      </c>
      <c r="C165" s="116"/>
      <c r="D165" s="28" t="e">
        <f>SUM(#REF!)</f>
        <v>#REF!</v>
      </c>
    </row>
    <row r="166" spans="1:4" s="15" customFormat="1" ht="20.100000000000001" customHeight="1">
      <c r="A166" s="460"/>
      <c r="B166" s="417"/>
      <c r="C166" s="116"/>
      <c r="D166" s="24" t="e">
        <f>D165/D108</f>
        <v>#REF!</v>
      </c>
    </row>
    <row r="167" spans="1:4" s="15" customFormat="1" ht="20.100000000000001" customHeight="1">
      <c r="A167" s="460"/>
      <c r="B167" s="418" t="s">
        <v>52</v>
      </c>
      <c r="C167" s="440"/>
      <c r="D167" s="21" t="e">
        <f>SUM(#REF!)</f>
        <v>#REF!</v>
      </c>
    </row>
    <row r="168" spans="1:4" s="15" customFormat="1" ht="20.100000000000001" customHeight="1">
      <c r="A168" s="460"/>
      <c r="B168" s="420"/>
      <c r="C168" s="441"/>
      <c r="D168" s="24" t="e">
        <f>D167/D109</f>
        <v>#REF!</v>
      </c>
    </row>
    <row r="169" spans="1:4" s="15" customFormat="1" ht="20.100000000000001" customHeight="1">
      <c r="A169" s="460"/>
      <c r="B169" s="416" t="s">
        <v>33</v>
      </c>
      <c r="C169" s="436"/>
      <c r="D169" s="27" t="e">
        <f>SUM(#REF!)</f>
        <v>#REF!</v>
      </c>
    </row>
    <row r="170" spans="1:4" s="15" customFormat="1" ht="20.100000000000001" customHeight="1">
      <c r="A170" s="460"/>
      <c r="B170" s="417"/>
      <c r="C170" s="437"/>
      <c r="D170" s="24" t="e">
        <f>D169/D110</f>
        <v>#REF!</v>
      </c>
    </row>
    <row r="171" spans="1:4" s="15" customFormat="1" ht="20.100000000000001" customHeight="1">
      <c r="A171" s="460"/>
      <c r="B171" s="416" t="s">
        <v>21</v>
      </c>
      <c r="C171" s="116"/>
      <c r="D171" s="54" t="e">
        <f>SUM(#REF!)</f>
        <v>#REF!</v>
      </c>
    </row>
    <row r="172" spans="1:4" s="15" customFormat="1" ht="20.100000000000001" customHeight="1">
      <c r="A172" s="460"/>
      <c r="B172" s="417"/>
      <c r="C172" s="116"/>
      <c r="D172" s="24" t="e">
        <f>D171/D111</f>
        <v>#REF!</v>
      </c>
    </row>
    <row r="173" spans="1:4" s="15" customFormat="1" ht="20.100000000000001" customHeight="1">
      <c r="A173" s="460"/>
      <c r="B173" s="416" t="s">
        <v>22</v>
      </c>
      <c r="C173" s="436"/>
      <c r="D173" s="27" t="e">
        <f>SUM(#REF!)</f>
        <v>#REF!</v>
      </c>
    </row>
    <row r="174" spans="1:4" s="15" customFormat="1" ht="20.100000000000001" customHeight="1">
      <c r="A174" s="460"/>
      <c r="B174" s="417"/>
      <c r="C174" s="437"/>
      <c r="D174" s="24" t="e">
        <f>D173/D112</f>
        <v>#REF!</v>
      </c>
    </row>
    <row r="175" spans="1:4" s="15" customFormat="1" ht="20.100000000000001" customHeight="1">
      <c r="A175" s="460"/>
      <c r="B175" s="416" t="s">
        <v>53</v>
      </c>
      <c r="C175" s="434"/>
      <c r="D175" s="28" t="e">
        <f>SUM(#REF!)</f>
        <v>#REF!</v>
      </c>
    </row>
    <row r="176" spans="1:4" s="15" customFormat="1" ht="20.100000000000001" customHeight="1">
      <c r="A176" s="460"/>
      <c r="B176" s="417"/>
      <c r="C176" s="435"/>
      <c r="D176" s="24" t="e">
        <f>D175/D113</f>
        <v>#REF!</v>
      </c>
    </row>
    <row r="177" spans="1:9" s="15" customFormat="1" ht="20.100000000000001" customHeight="1">
      <c r="A177" s="460"/>
      <c r="B177" s="416" t="s">
        <v>25</v>
      </c>
      <c r="C177" s="436"/>
      <c r="D177" s="27" t="e">
        <f>SUM(#REF!)</f>
        <v>#REF!</v>
      </c>
    </row>
    <row r="178" spans="1:9" s="15" customFormat="1" ht="20.100000000000001" customHeight="1">
      <c r="A178" s="460"/>
      <c r="B178" s="417"/>
      <c r="C178" s="437"/>
      <c r="D178" s="24" t="e">
        <f>D177/D114</f>
        <v>#REF!</v>
      </c>
    </row>
    <row r="179" spans="1:9" s="15" customFormat="1" ht="20.100000000000001" customHeight="1">
      <c r="A179" s="460"/>
      <c r="B179" s="416" t="s">
        <v>20</v>
      </c>
      <c r="C179" s="436"/>
      <c r="D179" s="27" t="e">
        <f>SUM(#REF!)</f>
        <v>#REF!</v>
      </c>
    </row>
    <row r="180" spans="1:9" s="15" customFormat="1" ht="20.100000000000001" customHeight="1">
      <c r="A180" s="460"/>
      <c r="B180" s="417"/>
      <c r="C180" s="437"/>
      <c r="D180" s="24" t="e">
        <f>D179/D115</f>
        <v>#REF!</v>
      </c>
    </row>
    <row r="181" spans="1:9" s="15" customFormat="1" ht="20.100000000000001" customHeight="1">
      <c r="A181" s="460"/>
      <c r="B181" s="416" t="s">
        <v>103</v>
      </c>
      <c r="C181" s="436"/>
      <c r="D181" s="27" t="e">
        <f>SUM(#REF!)</f>
        <v>#REF!</v>
      </c>
    </row>
    <row r="182" spans="1:9" s="15" customFormat="1" ht="20.100000000000001" customHeight="1">
      <c r="A182" s="460"/>
      <c r="B182" s="417"/>
      <c r="C182" s="437"/>
      <c r="D182" s="24" t="e">
        <f>D181/D116</f>
        <v>#REF!</v>
      </c>
    </row>
    <row r="183" spans="1:9" s="15" customFormat="1" ht="20.100000000000001" customHeight="1">
      <c r="A183" s="460"/>
      <c r="B183" s="416" t="s">
        <v>127</v>
      </c>
      <c r="C183" s="436"/>
      <c r="D183" s="54" t="e">
        <f>SUM(#REF!)</f>
        <v>#REF!</v>
      </c>
    </row>
    <row r="184" spans="1:9" s="15" customFormat="1" ht="20.100000000000001" customHeight="1">
      <c r="A184" s="460"/>
      <c r="B184" s="417"/>
      <c r="C184" s="437"/>
      <c r="D184" s="24" t="e">
        <f>D183/D117</f>
        <v>#REF!</v>
      </c>
    </row>
    <row r="185" spans="1:9" s="15" customFormat="1" ht="20.100000000000001" customHeight="1">
      <c r="A185" s="460"/>
      <c r="B185" s="416" t="s">
        <v>54</v>
      </c>
      <c r="C185" s="434"/>
      <c r="D185" s="28" t="e">
        <f>SUM(#REF!)</f>
        <v>#REF!</v>
      </c>
    </row>
    <row r="186" spans="1:9" s="33" customFormat="1" ht="20.100000000000001" customHeight="1">
      <c r="A186" s="460"/>
      <c r="B186" s="417"/>
      <c r="C186" s="435"/>
      <c r="D186" s="24" t="e">
        <f>D185/D119</f>
        <v>#REF!</v>
      </c>
      <c r="E186" s="15"/>
      <c r="F186" s="15"/>
      <c r="G186" s="15"/>
      <c r="H186" s="15"/>
      <c r="I186" s="15"/>
    </row>
    <row r="187" spans="1:9" s="33" customFormat="1" ht="20.100000000000001" customHeight="1">
      <c r="A187" s="460"/>
      <c r="B187" s="416" t="s">
        <v>23</v>
      </c>
      <c r="C187" s="436"/>
      <c r="D187" s="27" t="e">
        <f>SUM(#REF!)</f>
        <v>#REF!</v>
      </c>
      <c r="E187" s="15"/>
      <c r="F187" s="15"/>
      <c r="G187" s="15"/>
      <c r="H187" s="15"/>
      <c r="I187" s="15"/>
    </row>
    <row r="188" spans="1:9" s="33" customFormat="1" ht="20.100000000000001" customHeight="1">
      <c r="A188" s="460"/>
      <c r="B188" s="417"/>
      <c r="C188" s="437"/>
      <c r="D188" s="24" t="e">
        <f>D187/D120</f>
        <v>#REF!</v>
      </c>
      <c r="E188" s="15"/>
      <c r="F188" s="15"/>
      <c r="G188" s="15"/>
      <c r="H188" s="15"/>
      <c r="I188" s="15"/>
    </row>
    <row r="189" spans="1:9" s="33" customFormat="1" ht="20.100000000000001" customHeight="1">
      <c r="A189" s="460"/>
      <c r="B189" s="416" t="s">
        <v>107</v>
      </c>
      <c r="C189" s="116"/>
      <c r="D189" s="24"/>
      <c r="E189" s="15"/>
      <c r="F189" s="15"/>
      <c r="G189" s="15"/>
      <c r="H189" s="15"/>
      <c r="I189" s="15"/>
    </row>
    <row r="190" spans="1:9" s="33" customFormat="1" ht="20.100000000000001" customHeight="1">
      <c r="A190" s="460"/>
      <c r="B190" s="417"/>
      <c r="C190" s="116"/>
      <c r="D190" s="24"/>
      <c r="E190" s="15"/>
      <c r="F190" s="15"/>
      <c r="G190" s="15"/>
      <c r="H190" s="15"/>
      <c r="I190" s="15"/>
    </row>
    <row r="191" spans="1:9" s="33" customFormat="1" ht="20.100000000000001" customHeight="1">
      <c r="A191" s="460"/>
      <c r="B191" s="416" t="s">
        <v>55</v>
      </c>
      <c r="C191" s="434"/>
      <c r="D191" s="28" t="e">
        <f>SUM(#REF!)</f>
        <v>#REF!</v>
      </c>
      <c r="E191" s="15"/>
      <c r="F191" s="15"/>
      <c r="G191" s="15"/>
      <c r="H191" s="15"/>
      <c r="I191" s="15"/>
    </row>
    <row r="192" spans="1:9" s="33" customFormat="1" ht="20.100000000000001" customHeight="1">
      <c r="A192" s="460"/>
      <c r="B192" s="417"/>
      <c r="C192" s="435"/>
      <c r="D192" s="24" t="e">
        <f>D191/D124</f>
        <v>#REF!</v>
      </c>
      <c r="E192" s="15"/>
      <c r="F192" s="15"/>
      <c r="G192" s="15"/>
      <c r="H192" s="15"/>
      <c r="I192" s="15"/>
    </row>
    <row r="193" spans="1:9" s="33" customFormat="1" ht="20.100000000000001" customHeight="1">
      <c r="A193" s="460"/>
      <c r="B193" s="416" t="s">
        <v>34</v>
      </c>
      <c r="C193" s="434"/>
      <c r="D193" s="28" t="e">
        <f>SUM(#REF!)</f>
        <v>#REF!</v>
      </c>
      <c r="E193" s="15"/>
      <c r="F193" s="15"/>
      <c r="G193" s="15"/>
      <c r="H193" s="15"/>
      <c r="I193" s="15"/>
    </row>
    <row r="194" spans="1:9" s="33" customFormat="1" ht="20.100000000000001" customHeight="1">
      <c r="A194" s="460"/>
      <c r="B194" s="417"/>
      <c r="C194" s="435"/>
      <c r="D194" s="24" t="e">
        <f>D193/D129</f>
        <v>#REF!</v>
      </c>
      <c r="E194" s="15"/>
      <c r="F194" s="15"/>
      <c r="G194" s="15"/>
      <c r="H194" s="15"/>
      <c r="I194" s="15"/>
    </row>
    <row r="195" spans="1:9" s="33" customFormat="1" ht="20.100000000000001" customHeight="1">
      <c r="A195" s="460"/>
      <c r="B195" s="416" t="s">
        <v>35</v>
      </c>
      <c r="C195" s="434"/>
      <c r="D195" s="28" t="e">
        <f>SUM(#REF!)</f>
        <v>#REF!</v>
      </c>
      <c r="E195" s="15"/>
      <c r="F195" s="15"/>
      <c r="G195" s="15"/>
      <c r="H195" s="15"/>
      <c r="I195" s="15"/>
    </row>
    <row r="196" spans="1:9" s="33" customFormat="1" ht="20.100000000000001" customHeight="1">
      <c r="A196" s="460"/>
      <c r="B196" s="417"/>
      <c r="C196" s="435"/>
      <c r="D196" s="24" t="e">
        <f>D195/D123</f>
        <v>#REF!</v>
      </c>
      <c r="E196" s="15"/>
      <c r="F196" s="15"/>
      <c r="G196" s="15"/>
      <c r="H196" s="15"/>
      <c r="I196" s="15"/>
    </row>
    <row r="197" spans="1:9" s="33" customFormat="1" ht="20.100000000000001" customHeight="1">
      <c r="A197" s="460"/>
      <c r="B197" s="416" t="s">
        <v>36</v>
      </c>
      <c r="C197" s="434"/>
      <c r="D197" s="28" t="e">
        <f>SUM(#REF!)</f>
        <v>#REF!</v>
      </c>
      <c r="E197" s="15"/>
      <c r="F197" s="15"/>
      <c r="G197" s="15"/>
      <c r="H197" s="15"/>
      <c r="I197" s="15"/>
    </row>
    <row r="198" spans="1:9" s="33" customFormat="1" ht="20.100000000000001" customHeight="1">
      <c r="A198" s="460"/>
      <c r="B198" s="417"/>
      <c r="C198" s="435"/>
      <c r="D198" s="24" t="e">
        <f>D197/D127</f>
        <v>#REF!</v>
      </c>
      <c r="E198" s="15"/>
      <c r="F198" s="15"/>
      <c r="G198" s="15"/>
      <c r="H198" s="15"/>
      <c r="I198" s="15"/>
    </row>
    <row r="199" spans="1:9" s="33" customFormat="1" ht="20.100000000000001" customHeight="1">
      <c r="A199" s="460"/>
      <c r="B199" s="416" t="s">
        <v>129</v>
      </c>
      <c r="C199" s="434"/>
      <c r="D199" s="24"/>
      <c r="E199" s="15"/>
      <c r="F199" s="15"/>
      <c r="G199" s="15"/>
      <c r="H199" s="15"/>
      <c r="I199" s="15"/>
    </row>
    <row r="200" spans="1:9" s="33" customFormat="1" ht="20.100000000000001" customHeight="1">
      <c r="A200" s="460"/>
      <c r="B200" s="417"/>
      <c r="C200" s="435"/>
      <c r="D200" s="24"/>
      <c r="E200" s="15"/>
      <c r="F200" s="15"/>
      <c r="G200" s="15"/>
      <c r="H200" s="15"/>
      <c r="I200" s="15"/>
    </row>
    <row r="201" spans="1:9" s="33" customFormat="1" ht="20.100000000000001" customHeight="1">
      <c r="A201" s="460"/>
      <c r="B201" s="416" t="s">
        <v>130</v>
      </c>
      <c r="C201" s="434"/>
      <c r="D201" s="24"/>
      <c r="E201" s="15"/>
      <c r="F201" s="15"/>
      <c r="G201" s="15"/>
      <c r="H201" s="15"/>
      <c r="I201" s="15"/>
    </row>
    <row r="202" spans="1:9" s="33" customFormat="1" ht="20.100000000000001" customHeight="1">
      <c r="A202" s="460"/>
      <c r="B202" s="417"/>
      <c r="C202" s="435"/>
      <c r="D202" s="24"/>
      <c r="E202" s="15"/>
      <c r="F202" s="15"/>
      <c r="G202" s="15"/>
      <c r="H202" s="15"/>
      <c r="I202" s="15"/>
    </row>
    <row r="203" spans="1:9" s="33" customFormat="1" ht="20.100000000000001" customHeight="1">
      <c r="A203" s="460"/>
      <c r="B203" s="416" t="s">
        <v>133</v>
      </c>
      <c r="C203" s="434"/>
      <c r="D203" s="24"/>
      <c r="E203" s="15"/>
      <c r="F203" s="15"/>
      <c r="G203" s="15"/>
      <c r="H203" s="15"/>
      <c r="I203" s="15"/>
    </row>
    <row r="204" spans="1:9" s="33" customFormat="1" ht="20.100000000000001" customHeight="1">
      <c r="A204" s="460"/>
      <c r="B204" s="417"/>
      <c r="C204" s="435"/>
      <c r="D204" s="24"/>
      <c r="E204" s="15"/>
      <c r="F204" s="15"/>
      <c r="G204" s="15"/>
      <c r="H204" s="15"/>
      <c r="I204" s="15"/>
    </row>
    <row r="205" spans="1:9" s="33" customFormat="1" ht="20.100000000000001" customHeight="1">
      <c r="A205" s="460"/>
      <c r="B205" s="416" t="s">
        <v>131</v>
      </c>
      <c r="C205" s="434"/>
      <c r="D205" s="24"/>
      <c r="E205" s="15"/>
      <c r="F205" s="15"/>
      <c r="G205" s="15"/>
      <c r="H205" s="15"/>
      <c r="I205" s="15"/>
    </row>
    <row r="206" spans="1:9" s="33" customFormat="1" ht="20.100000000000001" customHeight="1">
      <c r="A206" s="460"/>
      <c r="B206" s="417"/>
      <c r="C206" s="435"/>
      <c r="D206" s="24"/>
      <c r="E206" s="15"/>
      <c r="F206" s="15"/>
      <c r="G206" s="15"/>
      <c r="H206" s="15"/>
      <c r="I206" s="15"/>
    </row>
    <row r="207" spans="1:9" s="33" customFormat="1" ht="20.100000000000001" customHeight="1">
      <c r="A207" s="460"/>
      <c r="B207" s="416" t="s">
        <v>132</v>
      </c>
      <c r="C207" s="434"/>
      <c r="D207" s="24"/>
      <c r="E207" s="15"/>
      <c r="F207" s="15"/>
      <c r="G207" s="15"/>
      <c r="H207" s="15"/>
      <c r="I207" s="15"/>
    </row>
    <row r="208" spans="1:9" s="33" customFormat="1" ht="20.100000000000001" customHeight="1">
      <c r="A208" s="460"/>
      <c r="B208" s="417"/>
      <c r="C208" s="435"/>
      <c r="D208" s="24"/>
      <c r="E208" s="15"/>
      <c r="F208" s="15"/>
      <c r="G208" s="15"/>
      <c r="H208" s="15"/>
      <c r="I208" s="15"/>
    </row>
    <row r="209" spans="1:9" s="33" customFormat="1" ht="20.100000000000001" customHeight="1">
      <c r="A209" s="460"/>
      <c r="B209" s="416" t="s">
        <v>134</v>
      </c>
      <c r="C209" s="434"/>
      <c r="D209" s="24"/>
      <c r="E209" s="15"/>
      <c r="F209" s="15"/>
      <c r="G209" s="15"/>
      <c r="H209" s="15"/>
      <c r="I209" s="15"/>
    </row>
    <row r="210" spans="1:9" s="33" customFormat="1" ht="20.100000000000001" customHeight="1">
      <c r="A210" s="460"/>
      <c r="B210" s="417"/>
      <c r="C210" s="435"/>
      <c r="D210" s="24"/>
      <c r="E210" s="15"/>
      <c r="F210" s="15"/>
      <c r="G210" s="15"/>
      <c r="H210" s="15"/>
      <c r="I210" s="15"/>
    </row>
    <row r="211" spans="1:9" s="33" customFormat="1" ht="20.100000000000001" customHeight="1">
      <c r="A211" s="460"/>
      <c r="B211" s="416" t="s">
        <v>135</v>
      </c>
      <c r="C211" s="434"/>
      <c r="D211" s="24"/>
      <c r="E211" s="15"/>
      <c r="F211" s="15"/>
      <c r="G211" s="15"/>
      <c r="H211" s="15"/>
      <c r="I211" s="15"/>
    </row>
    <row r="212" spans="1:9" s="33" customFormat="1" ht="20.100000000000001" customHeight="1">
      <c r="A212" s="460"/>
      <c r="B212" s="417"/>
      <c r="C212" s="435"/>
      <c r="D212" s="24"/>
      <c r="E212" s="15"/>
      <c r="F212" s="15"/>
      <c r="G212" s="15"/>
      <c r="H212" s="15"/>
      <c r="I212" s="15"/>
    </row>
    <row r="213" spans="1:9" s="33" customFormat="1" ht="20.100000000000001" customHeight="1">
      <c r="A213" s="460"/>
      <c r="B213" s="416" t="s">
        <v>230</v>
      </c>
      <c r="C213" s="434"/>
      <c r="D213" s="24"/>
      <c r="E213" s="15"/>
      <c r="F213" s="15"/>
      <c r="G213" s="15"/>
      <c r="H213" s="15"/>
      <c r="I213" s="15"/>
    </row>
    <row r="214" spans="1:9" s="33" customFormat="1" ht="20.100000000000001" customHeight="1">
      <c r="A214" s="460"/>
      <c r="B214" s="417"/>
      <c r="C214" s="435"/>
      <c r="D214" s="24"/>
      <c r="E214" s="15"/>
      <c r="F214" s="15"/>
      <c r="G214" s="15"/>
      <c r="H214" s="15"/>
      <c r="I214" s="15"/>
    </row>
    <row r="215" spans="1:9" s="33" customFormat="1" ht="20.100000000000001" customHeight="1">
      <c r="A215" s="460"/>
      <c r="B215" s="416" t="s">
        <v>231</v>
      </c>
      <c r="C215" s="434"/>
      <c r="D215" s="24"/>
      <c r="E215" s="15"/>
      <c r="F215" s="15"/>
      <c r="G215" s="15"/>
      <c r="H215" s="15"/>
      <c r="I215" s="15"/>
    </row>
    <row r="216" spans="1:9" s="33" customFormat="1" ht="20.100000000000001" customHeight="1">
      <c r="A216" s="460"/>
      <c r="B216" s="417"/>
      <c r="C216" s="435"/>
      <c r="D216" s="24"/>
      <c r="E216" s="15"/>
      <c r="F216" s="15"/>
      <c r="G216" s="15"/>
      <c r="H216" s="15"/>
      <c r="I216" s="15"/>
    </row>
    <row r="217" spans="1:9" s="33" customFormat="1" ht="20.100000000000001" customHeight="1">
      <c r="A217" s="460"/>
      <c r="B217" s="416" t="s">
        <v>236</v>
      </c>
      <c r="C217" s="434"/>
      <c r="D217" s="24"/>
      <c r="E217" s="15"/>
      <c r="F217" s="15"/>
      <c r="G217" s="15"/>
      <c r="H217" s="15"/>
      <c r="I217" s="15"/>
    </row>
    <row r="218" spans="1:9" s="33" customFormat="1" ht="20.100000000000001" customHeight="1">
      <c r="A218" s="460"/>
      <c r="B218" s="417"/>
      <c r="C218" s="435"/>
      <c r="D218" s="24"/>
      <c r="E218" s="15"/>
      <c r="F218" s="15"/>
      <c r="G218" s="15"/>
      <c r="H218" s="15"/>
      <c r="I218" s="15"/>
    </row>
    <row r="219" spans="1:9" s="33" customFormat="1" ht="20.100000000000001" customHeight="1">
      <c r="A219" s="460"/>
      <c r="B219" s="416" t="s">
        <v>143</v>
      </c>
      <c r="C219" s="125"/>
      <c r="D219" s="24"/>
      <c r="E219" s="15"/>
      <c r="F219" s="15"/>
      <c r="G219" s="15"/>
      <c r="H219" s="15"/>
      <c r="I219" s="15"/>
    </row>
    <row r="220" spans="1:9" s="33" customFormat="1" ht="20.100000000000001" customHeight="1">
      <c r="A220" s="460"/>
      <c r="B220" s="417"/>
      <c r="C220" s="125"/>
      <c r="D220" s="24"/>
      <c r="E220" s="15"/>
      <c r="F220" s="15"/>
      <c r="G220" s="15"/>
      <c r="H220" s="15"/>
      <c r="I220" s="15"/>
    </row>
    <row r="221" spans="1:9" s="33" customFormat="1" ht="20.100000000000001" customHeight="1">
      <c r="A221" s="460"/>
      <c r="B221" s="418" t="s">
        <v>56</v>
      </c>
      <c r="C221" s="419"/>
      <c r="D221" s="27" t="e">
        <f>SUM(#REF!)</f>
        <v>#REF!</v>
      </c>
      <c r="E221" s="15"/>
      <c r="F221" s="15"/>
      <c r="G221" s="15"/>
      <c r="H221" s="15"/>
      <c r="I221" s="15"/>
    </row>
    <row r="222" spans="1:9" s="33" customFormat="1" ht="20.100000000000001" customHeight="1">
      <c r="A222" s="460"/>
      <c r="B222" s="420"/>
      <c r="C222" s="421"/>
      <c r="D222" s="24" t="e">
        <f>D221/D133</f>
        <v>#REF!</v>
      </c>
      <c r="E222" s="15"/>
      <c r="F222" s="15"/>
      <c r="G222" s="15"/>
      <c r="H222" s="15"/>
      <c r="I222" s="15"/>
    </row>
    <row r="223" spans="1:9" s="33" customFormat="1" ht="20.100000000000001" customHeight="1">
      <c r="A223" s="460"/>
      <c r="B223" s="422" t="s">
        <v>136</v>
      </c>
      <c r="C223" s="423"/>
      <c r="D223" s="24"/>
      <c r="E223" s="15"/>
      <c r="F223" s="15"/>
      <c r="G223" s="15"/>
      <c r="H223" s="15"/>
      <c r="I223" s="15"/>
    </row>
    <row r="224" spans="1:9" s="33" customFormat="1" ht="20.100000000000001" customHeight="1">
      <c r="A224" s="461"/>
      <c r="B224" s="424"/>
      <c r="C224" s="425"/>
      <c r="D224" s="24"/>
      <c r="E224" s="15"/>
      <c r="F224" s="15"/>
      <c r="G224" s="15"/>
      <c r="H224" s="15"/>
      <c r="I224" s="15"/>
    </row>
    <row r="225" spans="1:9" s="33" customFormat="1" ht="20.100000000000001" customHeight="1">
      <c r="A225" s="108"/>
      <c r="B225" s="422" t="s">
        <v>137</v>
      </c>
      <c r="C225" s="423"/>
      <c r="D225" s="24"/>
      <c r="E225" s="15"/>
      <c r="F225" s="15"/>
      <c r="G225" s="15"/>
      <c r="H225" s="15"/>
      <c r="I225" s="15"/>
    </row>
    <row r="226" spans="1:9" s="33" customFormat="1" ht="20.100000000000001" customHeight="1">
      <c r="A226" s="108"/>
      <c r="B226" s="424"/>
      <c r="C226" s="425"/>
      <c r="D226" s="24"/>
      <c r="E226" s="15"/>
      <c r="F226" s="15"/>
      <c r="G226" s="15"/>
      <c r="H226" s="15"/>
      <c r="I226" s="15"/>
    </row>
    <row r="227" spans="1:9" s="33" customFormat="1" ht="20.100000000000001" customHeight="1">
      <c r="A227" s="476" t="s">
        <v>57</v>
      </c>
      <c r="B227" s="432" t="s">
        <v>58</v>
      </c>
      <c r="C227" s="433"/>
      <c r="D227" s="21" t="e">
        <f>SUM(#REF!)</f>
        <v>#REF!</v>
      </c>
      <c r="E227" s="23" t="e">
        <f>#REF!+#REF!</f>
        <v>#REF!</v>
      </c>
      <c r="F227" s="23" t="e">
        <f>E227+144000</f>
        <v>#REF!</v>
      </c>
      <c r="G227" s="15"/>
      <c r="H227" s="15"/>
      <c r="I227" s="15"/>
    </row>
    <row r="228" spans="1:9" s="33" customFormat="1" ht="20.100000000000001" customHeight="1">
      <c r="A228" s="476"/>
      <c r="B228" s="432" t="s">
        <v>59</v>
      </c>
      <c r="C228" s="433"/>
      <c r="D228" s="24" t="e">
        <f>D227/D142</f>
        <v>#REF!</v>
      </c>
      <c r="E228" s="15"/>
      <c r="F228" s="15"/>
      <c r="G228" s="15"/>
      <c r="H228" s="15"/>
      <c r="I228" s="15"/>
    </row>
    <row r="229" spans="1:9" s="33" customFormat="1" ht="20.100000000000001" customHeight="1">
      <c r="A229" s="215"/>
      <c r="B229" s="217" t="s">
        <v>227</v>
      </c>
      <c r="C229" s="216"/>
      <c r="D229" s="218" t="e">
        <f>SUM(#REF!)</f>
        <v>#REF!</v>
      </c>
      <c r="E229" s="15"/>
      <c r="F229" s="15"/>
      <c r="G229" s="15"/>
      <c r="H229" s="15"/>
      <c r="I229" s="15"/>
    </row>
    <row r="230" spans="1:9" s="33" customFormat="1" ht="20.100000000000001" customHeight="1">
      <c r="A230" s="215"/>
      <c r="B230" s="217" t="s">
        <v>228</v>
      </c>
      <c r="C230" s="216"/>
      <c r="D230" s="24" t="e">
        <f>D229/D142</f>
        <v>#REF!</v>
      </c>
      <c r="E230" s="15"/>
      <c r="F230" s="15"/>
      <c r="G230" s="15"/>
      <c r="H230" s="15"/>
      <c r="I230" s="15"/>
    </row>
    <row r="231" spans="1:9" s="33" customFormat="1" ht="15" customHeight="1">
      <c r="A231" s="477" t="s">
        <v>60</v>
      </c>
      <c r="B231" s="478"/>
      <c r="C231" s="478"/>
      <c r="D231" s="527"/>
      <c r="E231" s="15"/>
      <c r="F231" s="15"/>
      <c r="G231" s="15"/>
      <c r="H231" s="15"/>
      <c r="I231" s="15"/>
    </row>
    <row r="232" spans="1:9" s="33" customFormat="1" ht="15" customHeight="1">
      <c r="A232" s="414"/>
      <c r="B232" s="415"/>
      <c r="C232" s="415"/>
      <c r="D232" s="527"/>
      <c r="E232" s="15"/>
      <c r="F232" s="15"/>
      <c r="G232" s="15"/>
      <c r="H232" s="15"/>
      <c r="I232" s="15"/>
    </row>
    <row r="233" spans="1:9" s="33" customFormat="1" ht="19.5" customHeight="1">
      <c r="A233" s="410" t="s">
        <v>61</v>
      </c>
      <c r="B233" s="411"/>
      <c r="C233" s="411"/>
      <c r="D233" s="21"/>
      <c r="E233" s="15"/>
      <c r="F233" s="15"/>
      <c r="G233" s="15"/>
      <c r="H233" s="15"/>
      <c r="I233" s="15"/>
    </row>
    <row r="234" spans="1:9" s="33" customFormat="1" ht="14.25">
      <c r="A234" s="396" t="s">
        <v>62</v>
      </c>
      <c r="B234" s="390" t="s">
        <v>63</v>
      </c>
      <c r="C234" s="391"/>
      <c r="D234" s="522"/>
      <c r="E234" s="23"/>
      <c r="F234" s="15"/>
      <c r="G234" s="15"/>
      <c r="H234" s="15"/>
      <c r="I234" s="15"/>
    </row>
    <row r="235" spans="1:9" s="33" customFormat="1" ht="14.25">
      <c r="A235" s="390"/>
      <c r="B235" s="390"/>
      <c r="C235" s="391"/>
      <c r="D235" s="522"/>
      <c r="E235" s="15"/>
      <c r="F235" s="15"/>
      <c r="G235" s="15"/>
      <c r="H235" s="15"/>
      <c r="I235" s="15"/>
    </row>
    <row r="236" spans="1:9" s="33" customFormat="1" ht="14.25">
      <c r="A236" s="390"/>
      <c r="B236" s="390" t="s">
        <v>64</v>
      </c>
      <c r="C236" s="391"/>
      <c r="D236" s="522"/>
      <c r="E236" s="23" t="e">
        <f>#REF!+#REF!+#REF!</f>
        <v>#REF!</v>
      </c>
      <c r="F236" s="15"/>
      <c r="G236" s="15"/>
      <c r="H236" s="15"/>
      <c r="I236" s="15"/>
    </row>
    <row r="237" spans="1:9" s="33" customFormat="1" ht="14.25">
      <c r="A237" s="390"/>
      <c r="B237" s="390"/>
      <c r="C237" s="391"/>
      <c r="D237" s="522"/>
      <c r="E237" s="15"/>
      <c r="F237" s="15"/>
      <c r="G237" s="15"/>
      <c r="H237" s="15"/>
      <c r="I237" s="15"/>
    </row>
    <row r="238" spans="1:9" s="33" customFormat="1" ht="14.25">
      <c r="A238" s="396" t="s">
        <v>65</v>
      </c>
      <c r="B238" s="390" t="s">
        <v>63</v>
      </c>
      <c r="C238" s="391"/>
      <c r="D238" s="522"/>
      <c r="E238" s="15"/>
      <c r="F238" s="15"/>
      <c r="G238" s="15"/>
      <c r="H238" s="15"/>
      <c r="I238" s="15"/>
    </row>
    <row r="239" spans="1:9" s="33" customFormat="1" ht="14.25">
      <c r="A239" s="390"/>
      <c r="B239" s="390"/>
      <c r="C239" s="391"/>
      <c r="D239" s="522"/>
      <c r="E239" s="23" t="e">
        <f>5500000-#REF!-#REF!</f>
        <v>#REF!</v>
      </c>
      <c r="F239" s="15"/>
      <c r="G239" s="15"/>
      <c r="H239" s="15"/>
      <c r="I239" s="15"/>
    </row>
    <row r="240" spans="1:9" s="33" customFormat="1" ht="14.25">
      <c r="A240" s="390"/>
      <c r="B240" s="390" t="s">
        <v>64</v>
      </c>
      <c r="C240" s="391"/>
      <c r="D240" s="522"/>
      <c r="E240" s="15"/>
      <c r="F240" s="15"/>
      <c r="G240" s="15"/>
      <c r="H240" s="15"/>
      <c r="I240" s="15"/>
    </row>
    <row r="241" spans="1:9" s="33" customFormat="1" ht="14.25">
      <c r="A241" s="390"/>
      <c r="B241" s="390"/>
      <c r="C241" s="391"/>
      <c r="D241" s="522"/>
      <c r="E241" s="15"/>
      <c r="F241" s="15"/>
      <c r="G241" s="15"/>
      <c r="H241" s="15"/>
      <c r="I241" s="15"/>
    </row>
    <row r="242" spans="1:9" s="33" customFormat="1" ht="14.25">
      <c r="A242" s="396" t="s">
        <v>66</v>
      </c>
      <c r="B242" s="390" t="s">
        <v>63</v>
      </c>
      <c r="C242" s="391"/>
      <c r="D242" s="522"/>
      <c r="E242" s="15"/>
      <c r="F242" s="15"/>
      <c r="G242" s="23" t="e">
        <f>#REF!+#REF!+#REF!+#REF!</f>
        <v>#REF!</v>
      </c>
      <c r="H242" s="15"/>
      <c r="I242" s="15"/>
    </row>
    <row r="243" spans="1:9" s="33" customFormat="1" ht="14.25">
      <c r="A243" s="390"/>
      <c r="B243" s="390"/>
      <c r="C243" s="391"/>
      <c r="D243" s="522"/>
      <c r="E243" s="15"/>
      <c r="F243" s="15"/>
      <c r="G243" s="15"/>
      <c r="H243" s="15"/>
      <c r="I243" s="15"/>
    </row>
    <row r="244" spans="1:9" s="33" customFormat="1" ht="14.25">
      <c r="A244" s="390"/>
      <c r="B244" s="390" t="s">
        <v>64</v>
      </c>
      <c r="C244" s="391"/>
      <c r="D244" s="522"/>
      <c r="E244" s="15"/>
      <c r="F244" s="15"/>
      <c r="G244" s="15"/>
      <c r="H244" s="15"/>
      <c r="I244" s="15"/>
    </row>
    <row r="245" spans="1:9" s="33" customFormat="1" ht="14.25">
      <c r="A245" s="390"/>
      <c r="B245" s="390"/>
      <c r="C245" s="391"/>
      <c r="D245" s="522"/>
      <c r="E245" s="15"/>
      <c r="F245" s="15"/>
      <c r="G245" s="15"/>
      <c r="H245" s="15"/>
      <c r="I245" s="15"/>
    </row>
    <row r="246" spans="1:9" s="33" customFormat="1" ht="13.5" customHeight="1">
      <c r="A246" s="396" t="s">
        <v>67</v>
      </c>
      <c r="B246" s="390" t="s">
        <v>63</v>
      </c>
      <c r="C246" s="391"/>
      <c r="D246" s="522"/>
      <c r="E246" s="15"/>
      <c r="F246" s="15"/>
      <c r="G246" s="15"/>
      <c r="H246" s="15"/>
      <c r="I246" s="15"/>
    </row>
    <row r="247" spans="1:9" s="33" customFormat="1" ht="13.5" customHeight="1">
      <c r="A247" s="390"/>
      <c r="B247" s="390"/>
      <c r="C247" s="391"/>
      <c r="D247" s="522"/>
      <c r="E247" s="15"/>
      <c r="F247" s="15"/>
      <c r="G247" s="15"/>
      <c r="H247" s="15"/>
      <c r="I247" s="15"/>
    </row>
    <row r="248" spans="1:9" s="33" customFormat="1" ht="13.5" customHeight="1">
      <c r="A248" s="390"/>
      <c r="B248" s="390" t="s">
        <v>64</v>
      </c>
      <c r="C248" s="391"/>
      <c r="D248" s="522"/>
      <c r="E248" s="15"/>
      <c r="F248" s="15"/>
      <c r="G248" s="15"/>
      <c r="H248" s="15"/>
      <c r="I248" s="15"/>
    </row>
    <row r="249" spans="1:9" s="33" customFormat="1" ht="13.5" customHeight="1">
      <c r="A249" s="390"/>
      <c r="B249" s="390"/>
      <c r="C249" s="391"/>
      <c r="D249" s="522"/>
      <c r="E249" s="15"/>
      <c r="F249" s="15"/>
      <c r="G249" s="15"/>
      <c r="H249" s="15"/>
      <c r="I249" s="15"/>
    </row>
    <row r="250" spans="1:9" s="33" customFormat="1" ht="13.5" customHeight="1">
      <c r="A250" s="396" t="s">
        <v>68</v>
      </c>
      <c r="B250" s="390" t="s">
        <v>63</v>
      </c>
      <c r="C250" s="391"/>
      <c r="D250" s="522"/>
      <c r="E250" s="15"/>
      <c r="F250" s="15"/>
      <c r="G250" s="15"/>
      <c r="H250" s="15"/>
      <c r="I250" s="15"/>
    </row>
    <row r="251" spans="1:9" s="33" customFormat="1" ht="13.5" customHeight="1">
      <c r="A251" s="390"/>
      <c r="B251" s="390"/>
      <c r="C251" s="391"/>
      <c r="D251" s="522"/>
      <c r="E251" s="15"/>
      <c r="F251" s="15"/>
      <c r="G251" s="15"/>
      <c r="H251" s="15"/>
      <c r="I251" s="15"/>
    </row>
    <row r="252" spans="1:9" s="33" customFormat="1" ht="13.5" customHeight="1">
      <c r="A252" s="390"/>
      <c r="B252" s="390" t="s">
        <v>64</v>
      </c>
      <c r="C252" s="391"/>
      <c r="D252" s="522"/>
      <c r="E252" s="15"/>
      <c r="F252" s="15"/>
      <c r="G252" s="15"/>
      <c r="H252" s="15"/>
      <c r="I252" s="15"/>
    </row>
    <row r="253" spans="1:9" s="33" customFormat="1" ht="13.5" customHeight="1">
      <c r="A253" s="390"/>
      <c r="B253" s="390"/>
      <c r="C253" s="391"/>
      <c r="D253" s="522"/>
      <c r="E253" s="15"/>
      <c r="F253" s="15"/>
      <c r="G253" s="15"/>
      <c r="H253" s="15"/>
      <c r="I253" s="15"/>
    </row>
    <row r="254" spans="1:9" s="33" customFormat="1" ht="13.5" customHeight="1">
      <c r="A254" s="396" t="s">
        <v>69</v>
      </c>
      <c r="B254" s="390" t="s">
        <v>63</v>
      </c>
      <c r="C254" s="391"/>
      <c r="D254" s="522"/>
      <c r="E254" s="15"/>
      <c r="F254" s="15"/>
      <c r="G254" s="15"/>
      <c r="H254" s="15"/>
      <c r="I254" s="15"/>
    </row>
    <row r="255" spans="1:9" s="33" customFormat="1" ht="13.5" customHeight="1">
      <c r="A255" s="390"/>
      <c r="B255" s="390"/>
      <c r="C255" s="391"/>
      <c r="D255" s="522"/>
      <c r="E255" s="15"/>
      <c r="F255" s="15"/>
      <c r="G255" s="15"/>
      <c r="H255" s="15"/>
      <c r="I255" s="15"/>
    </row>
    <row r="256" spans="1:9" s="33" customFormat="1" ht="13.5" customHeight="1">
      <c r="A256" s="390"/>
      <c r="B256" s="390" t="s">
        <v>64</v>
      </c>
      <c r="C256" s="391"/>
      <c r="D256" s="522"/>
      <c r="E256" s="15"/>
      <c r="F256" s="15"/>
      <c r="G256" s="15"/>
      <c r="H256" s="15"/>
      <c r="I256" s="15"/>
    </row>
    <row r="257" spans="1:9" s="33" customFormat="1" ht="13.5" customHeight="1">
      <c r="A257" s="390"/>
      <c r="B257" s="390"/>
      <c r="C257" s="391"/>
      <c r="D257" s="522"/>
      <c r="E257" s="15"/>
      <c r="F257" s="15"/>
      <c r="G257" s="15"/>
      <c r="H257" s="15"/>
      <c r="I257" s="15"/>
    </row>
    <row r="258" spans="1:9" s="33" customFormat="1" ht="13.5" customHeight="1">
      <c r="A258" s="396" t="s">
        <v>69</v>
      </c>
      <c r="B258" s="390" t="s">
        <v>63</v>
      </c>
      <c r="C258" s="391"/>
      <c r="D258" s="522"/>
      <c r="E258" s="15"/>
      <c r="F258" s="15"/>
      <c r="G258" s="15"/>
      <c r="H258" s="15"/>
      <c r="I258" s="15"/>
    </row>
    <row r="259" spans="1:9" s="33" customFormat="1" ht="13.5" customHeight="1">
      <c r="A259" s="390"/>
      <c r="B259" s="390"/>
      <c r="C259" s="391"/>
      <c r="D259" s="522"/>
      <c r="E259" s="15"/>
      <c r="F259" s="15"/>
      <c r="G259" s="15"/>
      <c r="H259" s="15"/>
      <c r="I259" s="15"/>
    </row>
    <row r="260" spans="1:9" s="33" customFormat="1" ht="13.5" customHeight="1">
      <c r="A260" s="390"/>
      <c r="B260" s="390" t="s">
        <v>64</v>
      </c>
      <c r="C260" s="391"/>
      <c r="D260" s="522"/>
      <c r="E260" s="15"/>
      <c r="F260" s="15"/>
      <c r="G260" s="15"/>
      <c r="H260" s="15"/>
      <c r="I260" s="15"/>
    </row>
    <row r="261" spans="1:9" s="33" customFormat="1" ht="13.5" customHeight="1">
      <c r="A261" s="390"/>
      <c r="B261" s="390"/>
      <c r="C261" s="391"/>
      <c r="D261" s="522"/>
      <c r="E261" s="15"/>
      <c r="F261" s="15"/>
      <c r="G261" s="15"/>
      <c r="H261" s="15"/>
      <c r="I261" s="15"/>
    </row>
    <row r="262" spans="1:9" s="33" customFormat="1" ht="13.5" hidden="1" customHeight="1">
      <c r="A262" s="396" t="s">
        <v>70</v>
      </c>
      <c r="B262" s="390" t="s">
        <v>63</v>
      </c>
      <c r="C262" s="391"/>
      <c r="D262" s="522"/>
      <c r="E262" s="15"/>
      <c r="F262" s="15"/>
      <c r="G262" s="15"/>
      <c r="H262" s="15"/>
      <c r="I262" s="15"/>
    </row>
    <row r="263" spans="1:9" s="33" customFormat="1" ht="13.5" hidden="1" customHeight="1">
      <c r="A263" s="390"/>
      <c r="B263" s="390"/>
      <c r="C263" s="391"/>
      <c r="D263" s="522"/>
      <c r="E263" s="15"/>
      <c r="F263" s="15"/>
      <c r="G263" s="15"/>
      <c r="H263" s="15"/>
      <c r="I263" s="15"/>
    </row>
    <row r="264" spans="1:9" s="33" customFormat="1" ht="13.5" hidden="1" customHeight="1">
      <c r="A264" s="390"/>
      <c r="B264" s="390" t="s">
        <v>64</v>
      </c>
      <c r="C264" s="391"/>
      <c r="D264" s="522"/>
      <c r="E264" s="15"/>
      <c r="F264" s="15"/>
      <c r="G264" s="15"/>
      <c r="H264" s="15"/>
      <c r="I264" s="15"/>
    </row>
    <row r="265" spans="1:9" s="33" customFormat="1" ht="13.5" hidden="1" customHeight="1">
      <c r="A265" s="390"/>
      <c r="B265" s="390"/>
      <c r="C265" s="391"/>
      <c r="D265" s="522"/>
      <c r="E265" s="15"/>
      <c r="F265" s="15"/>
      <c r="G265" s="15"/>
      <c r="H265" s="15"/>
      <c r="I265" s="15"/>
    </row>
    <row r="266" spans="1:9" s="33" customFormat="1" ht="13.5" hidden="1" customHeight="1">
      <c r="A266" s="396" t="s">
        <v>71</v>
      </c>
      <c r="B266" s="390" t="s">
        <v>63</v>
      </c>
      <c r="C266" s="391"/>
      <c r="D266" s="522"/>
      <c r="E266" s="15"/>
      <c r="F266" s="15"/>
      <c r="G266" s="15"/>
      <c r="H266" s="15"/>
      <c r="I266" s="15"/>
    </row>
    <row r="267" spans="1:9" s="33" customFormat="1" ht="13.5" hidden="1" customHeight="1">
      <c r="A267" s="390"/>
      <c r="B267" s="390"/>
      <c r="C267" s="391"/>
      <c r="D267" s="522"/>
      <c r="E267" s="15"/>
      <c r="F267" s="15"/>
      <c r="G267" s="15"/>
      <c r="H267" s="15"/>
      <c r="I267" s="15"/>
    </row>
    <row r="268" spans="1:9" s="33" customFormat="1" ht="13.5" hidden="1" customHeight="1">
      <c r="A268" s="390"/>
      <c r="B268" s="390" t="s">
        <v>64</v>
      </c>
      <c r="C268" s="391"/>
      <c r="D268" s="522"/>
      <c r="E268" s="15"/>
      <c r="F268" s="15"/>
      <c r="G268" s="15"/>
      <c r="H268" s="15"/>
      <c r="I268" s="15"/>
    </row>
    <row r="269" spans="1:9" s="33" customFormat="1" ht="13.5" hidden="1" customHeight="1">
      <c r="A269" s="390"/>
      <c r="B269" s="390"/>
      <c r="C269" s="391"/>
      <c r="D269" s="522"/>
      <c r="E269" s="15"/>
      <c r="F269" s="15"/>
      <c r="G269" s="15"/>
      <c r="H269" s="15"/>
      <c r="I269" s="15"/>
    </row>
    <row r="270" spans="1:9" s="33" customFormat="1" ht="14.25">
      <c r="A270" s="392" t="s">
        <v>60</v>
      </c>
      <c r="B270" s="393"/>
      <c r="C270" s="393"/>
      <c r="D270" s="527"/>
      <c r="E270" s="15"/>
      <c r="F270" s="15"/>
      <c r="G270" s="15"/>
      <c r="H270" s="15"/>
      <c r="I270" s="15"/>
    </row>
    <row r="271" spans="1:9" s="33" customFormat="1" ht="14.25">
      <c r="A271" s="394"/>
      <c r="B271" s="395"/>
      <c r="C271" s="395"/>
      <c r="D271" s="390"/>
      <c r="E271" s="15"/>
      <c r="F271" s="15"/>
      <c r="G271" s="15"/>
      <c r="H271" s="15"/>
      <c r="I271" s="15"/>
    </row>
    <row r="272" spans="1:9" s="33" customFormat="1" ht="14.25">
      <c r="A272" s="373" t="s">
        <v>60</v>
      </c>
      <c r="B272" s="374"/>
      <c r="C272" s="374"/>
      <c r="D272" s="535"/>
      <c r="E272" s="15"/>
      <c r="F272" s="15"/>
      <c r="G272" s="15"/>
      <c r="H272" s="15"/>
      <c r="I272" s="15"/>
    </row>
    <row r="273" spans="1:9" s="33" customFormat="1" ht="14.25">
      <c r="A273" s="375"/>
      <c r="B273" s="376"/>
      <c r="C273" s="376"/>
      <c r="D273" s="533"/>
      <c r="E273" s="15"/>
      <c r="F273" s="15"/>
      <c r="G273" s="15"/>
      <c r="H273" s="15"/>
      <c r="I273" s="15"/>
    </row>
    <row r="274" spans="1:9" s="33" customFormat="1" ht="18" customHeight="1">
      <c r="A274" s="373" t="s">
        <v>72</v>
      </c>
      <c r="B274" s="374"/>
      <c r="C274" s="374"/>
      <c r="D274" s="533"/>
      <c r="E274" s="15"/>
      <c r="F274" s="15"/>
      <c r="G274" s="15"/>
      <c r="H274" s="15"/>
      <c r="I274" s="15"/>
    </row>
    <row r="275" spans="1:9" s="33" customFormat="1" ht="15" thickBot="1">
      <c r="A275" s="375"/>
      <c r="B275" s="376"/>
      <c r="C275" s="376"/>
      <c r="D275" s="534"/>
      <c r="E275" s="15"/>
      <c r="F275" s="15"/>
      <c r="G275" s="15"/>
      <c r="H275" s="15"/>
      <c r="I275" s="15"/>
    </row>
    <row r="276" spans="1:9" s="15" customFormat="1" ht="14.25"/>
    <row r="277" spans="1:9" s="33" customFormat="1" ht="38.25" customHeight="1">
      <c r="A277" s="15"/>
      <c r="B277" s="15"/>
      <c r="C277" s="15"/>
      <c r="D277" s="15"/>
      <c r="E277" s="15"/>
      <c r="F277" s="15"/>
      <c r="G277" s="15"/>
      <c r="H277" s="15"/>
      <c r="I277" s="15"/>
    </row>
  </sheetData>
  <mergeCells count="152">
    <mergeCell ref="B201:C202"/>
    <mergeCell ref="B203:C204"/>
    <mergeCell ref="B205:C206"/>
    <mergeCell ref="B207:C208"/>
    <mergeCell ref="B209:C210"/>
    <mergeCell ref="B211:C212"/>
    <mergeCell ref="A97:A141"/>
    <mergeCell ref="A145:A146"/>
    <mergeCell ref="B145:C145"/>
    <mergeCell ref="B59:B60"/>
    <mergeCell ref="B63:B64"/>
    <mergeCell ref="B65:B66"/>
    <mergeCell ref="B75:B76"/>
    <mergeCell ref="B61:B62"/>
    <mergeCell ref="B146:C146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3:B24"/>
    <mergeCell ref="B27:B28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87:B88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97:C198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45:B46"/>
    <mergeCell ref="B47:B48"/>
    <mergeCell ref="B51:B52"/>
    <mergeCell ref="B213:C214"/>
    <mergeCell ref="B215:C216"/>
    <mergeCell ref="B217:C218"/>
    <mergeCell ref="B219:B220"/>
    <mergeCell ref="B221:C222"/>
    <mergeCell ref="D236:D237"/>
    <mergeCell ref="D238:D239"/>
    <mergeCell ref="D234:D235"/>
    <mergeCell ref="D231:D232"/>
    <mergeCell ref="B236:C237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B171:B172"/>
    <mergeCell ref="B244:C245"/>
    <mergeCell ref="B240:C241"/>
    <mergeCell ref="A147:A224"/>
    <mergeCell ref="B223:C224"/>
    <mergeCell ref="B225:C226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</mergeCells>
  <phoneticPr fontId="12"/>
  <pageMargins left="0" right="0" top="0" bottom="0" header="0" footer="0"/>
  <pageSetup paperSize="9" scale="42" orientation="portrait" r:id="rId1"/>
  <rowBreaks count="2" manualBreakCount="2">
    <brk id="80" max="27" man="1"/>
    <brk id="166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114A-8E46-446E-A9F8-228C06CEE750}">
  <sheetPr>
    <tabColor rgb="FFFF0066"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16" sqref="D16:D17"/>
    </sheetView>
  </sheetViews>
  <sheetFormatPr defaultColWidth="9" defaultRowHeight="13.5"/>
  <cols>
    <col min="1" max="1" width="9" customWidth="1"/>
    <col min="2" max="2" width="25" customWidth="1"/>
    <col min="3" max="3" width="15.375" customWidth="1"/>
    <col min="4" max="4" width="15.625" customWidth="1"/>
    <col min="5" max="5" width="10.625" bestFit="1" customWidth="1"/>
    <col min="6" max="6" width="11.125" bestFit="1" customWidth="1"/>
  </cols>
  <sheetData>
    <row r="1" spans="1:7" ht="36" customHeight="1">
      <c r="A1" s="1" t="s">
        <v>242</v>
      </c>
      <c r="C1" s="112"/>
      <c r="D1" s="36"/>
    </row>
    <row r="2" spans="1:7" s="15" customFormat="1" ht="20.100000000000001" customHeight="1">
      <c r="A2" s="37"/>
      <c r="B2" s="64" t="s">
        <v>1</v>
      </c>
      <c r="C2" s="66"/>
      <c r="D2" s="13">
        <v>45464</v>
      </c>
    </row>
    <row r="3" spans="1:7" s="15" customFormat="1" ht="20.100000000000001" customHeight="1">
      <c r="A3" s="551" t="s">
        <v>243</v>
      </c>
      <c r="B3" s="442" t="s">
        <v>37</v>
      </c>
      <c r="C3" s="92" t="s">
        <v>5</v>
      </c>
      <c r="D3" s="14">
        <f>3200*4</f>
        <v>12800</v>
      </c>
    </row>
    <row r="4" spans="1:7" s="15" customFormat="1" ht="20.100000000000001" customHeight="1">
      <c r="A4" s="473"/>
      <c r="B4" s="442"/>
      <c r="C4" s="92" t="s">
        <v>6</v>
      </c>
      <c r="D4" s="14">
        <f>(3200*3*1.1)+(3200*1*1.08)</f>
        <v>14016</v>
      </c>
    </row>
    <row r="5" spans="1:7" s="15" customFormat="1" ht="20.100000000000001" customHeight="1" thickBot="1">
      <c r="A5" s="473"/>
      <c r="B5" s="548" t="s">
        <v>245</v>
      </c>
      <c r="C5" s="549"/>
      <c r="D5" s="80"/>
    </row>
    <row r="6" spans="1:7" s="15" customFormat="1" ht="20.100000000000001" customHeight="1" thickBot="1">
      <c r="A6" s="473"/>
      <c r="B6" s="548" t="s">
        <v>29</v>
      </c>
      <c r="C6" s="549"/>
      <c r="D6" s="81">
        <f>D3+D5</f>
        <v>12800</v>
      </c>
      <c r="E6" s="43"/>
      <c r="F6" s="23"/>
    </row>
    <row r="7" spans="1:7" s="15" customFormat="1" ht="19.5" customHeight="1">
      <c r="A7" s="556" t="s">
        <v>244</v>
      </c>
      <c r="B7" s="552" t="s">
        <v>37</v>
      </c>
      <c r="C7" s="22" t="s">
        <v>5</v>
      </c>
      <c r="D7" s="18">
        <v>18000</v>
      </c>
    </row>
    <row r="8" spans="1:7" s="15" customFormat="1" ht="19.5" customHeight="1">
      <c r="A8" s="445"/>
      <c r="B8" s="553"/>
      <c r="C8" s="22" t="s">
        <v>6</v>
      </c>
      <c r="D8" s="18">
        <f>(4500*3)*1.1+(4500*1.08)</f>
        <v>19710</v>
      </c>
    </row>
    <row r="9" spans="1:7" s="15" customFormat="1" ht="20.100000000000001" customHeight="1">
      <c r="A9" s="445"/>
      <c r="B9" s="554" t="s">
        <v>126</v>
      </c>
      <c r="C9" s="22" t="s">
        <v>5</v>
      </c>
      <c r="D9" s="21">
        <v>1500</v>
      </c>
      <c r="E9" s="23"/>
    </row>
    <row r="10" spans="1:7" s="15" customFormat="1" ht="20.100000000000001" customHeight="1" thickBot="1">
      <c r="A10" s="445"/>
      <c r="B10" s="555"/>
      <c r="C10" s="22" t="s">
        <v>6</v>
      </c>
      <c r="D10" s="224">
        <f>D9*1.1</f>
        <v>1650.0000000000002</v>
      </c>
      <c r="E10" s="23"/>
    </row>
    <row r="11" spans="1:7" s="15" customFormat="1" ht="20.100000000000001" customHeight="1" thickBot="1">
      <c r="A11" s="550" t="s">
        <v>39</v>
      </c>
      <c r="B11" s="481"/>
      <c r="C11" s="481"/>
      <c r="D11" s="51">
        <f>D8+D10</f>
        <v>21360</v>
      </c>
    </row>
    <row r="12" spans="1:7" s="33" customFormat="1" ht="20.100000000000001" customHeight="1">
      <c r="A12" s="476" t="s">
        <v>57</v>
      </c>
      <c r="B12" s="432" t="s">
        <v>58</v>
      </c>
      <c r="C12" s="433"/>
      <c r="D12" s="67">
        <f>D7-D3</f>
        <v>5200</v>
      </c>
      <c r="E12" s="15"/>
      <c r="F12" s="15"/>
      <c r="G12" s="15"/>
    </row>
    <row r="13" spans="1:7" s="33" customFormat="1" ht="20.100000000000001" customHeight="1">
      <c r="A13" s="476"/>
      <c r="B13" s="432" t="s">
        <v>59</v>
      </c>
      <c r="C13" s="433"/>
      <c r="D13" s="25">
        <f>D12/D7</f>
        <v>0.28888888888888886</v>
      </c>
      <c r="E13" s="15"/>
      <c r="F13" s="15"/>
      <c r="G13" s="15"/>
    </row>
    <row r="14" spans="1:7" s="33" customFormat="1" ht="20.100000000000001" customHeight="1">
      <c r="A14" s="215"/>
      <c r="B14" s="217" t="s">
        <v>227</v>
      </c>
      <c r="C14" s="216"/>
      <c r="D14" s="223">
        <f>D11-D6</f>
        <v>8560</v>
      </c>
      <c r="E14" s="15"/>
      <c r="F14" s="15"/>
      <c r="G14" s="15"/>
    </row>
    <row r="15" spans="1:7" s="33" customFormat="1" ht="20.100000000000001" customHeight="1">
      <c r="A15" s="215"/>
      <c r="B15" s="217" t="s">
        <v>228</v>
      </c>
      <c r="C15" s="216"/>
      <c r="D15" s="25">
        <f>D14/D11</f>
        <v>0.40074906367041196</v>
      </c>
      <c r="E15" s="15"/>
      <c r="F15" s="15"/>
      <c r="G15" s="15"/>
    </row>
    <row r="16" spans="1:7" s="33" customFormat="1" ht="15" customHeight="1">
      <c r="A16" s="477" t="s">
        <v>60</v>
      </c>
      <c r="B16" s="478"/>
      <c r="C16" s="478"/>
      <c r="D16" s="539">
        <f>D11</f>
        <v>21360</v>
      </c>
      <c r="E16" s="15"/>
      <c r="F16" s="15"/>
      <c r="G16" s="15"/>
    </row>
    <row r="17" spans="1:7" s="33" customFormat="1" ht="15" customHeight="1">
      <c r="A17" s="414"/>
      <c r="B17" s="415"/>
      <c r="C17" s="415"/>
      <c r="D17" s="540"/>
      <c r="E17" s="15"/>
      <c r="F17" s="15"/>
      <c r="G17" s="15"/>
    </row>
    <row r="18" spans="1:7" s="33" customFormat="1" ht="14.25">
      <c r="A18" s="396" t="s">
        <v>62</v>
      </c>
      <c r="B18" s="390" t="s">
        <v>63</v>
      </c>
      <c r="C18" s="391"/>
      <c r="D18" s="518"/>
      <c r="E18" s="15"/>
      <c r="F18" s="15"/>
      <c r="G18" s="15"/>
    </row>
    <row r="19" spans="1:7" s="33" customFormat="1" ht="14.25">
      <c r="A19" s="390"/>
      <c r="B19" s="390"/>
      <c r="C19" s="391"/>
      <c r="D19" s="519"/>
      <c r="E19" s="15"/>
      <c r="F19" s="15"/>
      <c r="G19" s="15"/>
    </row>
    <row r="20" spans="1:7" s="33" customFormat="1" ht="14.25">
      <c r="A20" s="390"/>
      <c r="B20" s="390" t="s">
        <v>64</v>
      </c>
      <c r="C20" s="391"/>
      <c r="D20" s="518"/>
      <c r="E20" s="15"/>
      <c r="F20" s="15"/>
      <c r="G20" s="15"/>
    </row>
    <row r="21" spans="1:7" s="33" customFormat="1" ht="14.25">
      <c r="A21" s="390"/>
      <c r="B21" s="390"/>
      <c r="C21" s="391"/>
      <c r="D21" s="519"/>
      <c r="E21" s="15"/>
      <c r="F21" s="15"/>
      <c r="G21" s="15"/>
    </row>
    <row r="22" spans="1:7" s="33" customFormat="1" ht="13.5" hidden="1" customHeight="1">
      <c r="A22" s="396" t="s">
        <v>69</v>
      </c>
      <c r="B22" s="390" t="s">
        <v>63</v>
      </c>
      <c r="C22" s="391"/>
      <c r="D22" s="518"/>
      <c r="E22" s="15"/>
      <c r="F22" s="15"/>
      <c r="G22" s="15"/>
    </row>
    <row r="23" spans="1:7" s="33" customFormat="1" ht="13.5" hidden="1" customHeight="1">
      <c r="A23" s="390"/>
      <c r="B23" s="390"/>
      <c r="C23" s="391"/>
      <c r="D23" s="519"/>
      <c r="E23" s="15"/>
      <c r="F23" s="15"/>
      <c r="G23" s="15"/>
    </row>
    <row r="24" spans="1:7" s="33" customFormat="1" ht="13.5" hidden="1" customHeight="1">
      <c r="A24" s="390"/>
      <c r="B24" s="390" t="s">
        <v>64</v>
      </c>
      <c r="C24" s="391"/>
      <c r="D24" s="518"/>
      <c r="E24" s="15"/>
      <c r="F24" s="15"/>
      <c r="G24" s="15"/>
    </row>
    <row r="25" spans="1:7" s="33" customFormat="1" ht="13.5" hidden="1" customHeight="1">
      <c r="A25" s="390"/>
      <c r="B25" s="390"/>
      <c r="C25" s="391"/>
      <c r="D25" s="519"/>
      <c r="E25" s="15"/>
      <c r="F25" s="15"/>
      <c r="G25" s="15"/>
    </row>
    <row r="26" spans="1:7" s="33" customFormat="1" ht="13.5" hidden="1" customHeight="1">
      <c r="A26" s="396" t="s">
        <v>69</v>
      </c>
      <c r="B26" s="390" t="s">
        <v>63</v>
      </c>
      <c r="C26" s="391"/>
      <c r="D26" s="518"/>
      <c r="E26" s="15"/>
      <c r="F26" s="15"/>
      <c r="G26" s="15"/>
    </row>
    <row r="27" spans="1:7" s="33" customFormat="1" ht="13.5" hidden="1" customHeight="1">
      <c r="A27" s="390"/>
      <c r="B27" s="390"/>
      <c r="C27" s="391"/>
      <c r="D27" s="519"/>
      <c r="E27" s="15"/>
      <c r="F27" s="15"/>
      <c r="G27" s="15"/>
    </row>
    <row r="28" spans="1:7" s="33" customFormat="1" ht="13.5" hidden="1" customHeight="1">
      <c r="A28" s="390"/>
      <c r="B28" s="390" t="s">
        <v>64</v>
      </c>
      <c r="C28" s="391"/>
      <c r="D28" s="518"/>
      <c r="E28" s="15"/>
      <c r="F28" s="15"/>
      <c r="G28" s="15"/>
    </row>
    <row r="29" spans="1:7" s="33" customFormat="1" ht="13.5" hidden="1" customHeight="1">
      <c r="A29" s="390"/>
      <c r="B29" s="390"/>
      <c r="C29" s="391"/>
      <c r="D29" s="519"/>
      <c r="E29" s="15"/>
      <c r="F29" s="15"/>
      <c r="G29" s="15"/>
    </row>
    <row r="30" spans="1:7" s="33" customFormat="1" ht="13.5" hidden="1" customHeight="1">
      <c r="A30" s="396" t="s">
        <v>70</v>
      </c>
      <c r="B30" s="390" t="s">
        <v>63</v>
      </c>
      <c r="C30" s="391"/>
      <c r="D30" s="518"/>
      <c r="E30" s="15"/>
      <c r="F30" s="15"/>
      <c r="G30" s="15"/>
    </row>
    <row r="31" spans="1:7" s="33" customFormat="1" ht="13.5" hidden="1" customHeight="1">
      <c r="A31" s="390"/>
      <c r="B31" s="390"/>
      <c r="C31" s="391"/>
      <c r="D31" s="519"/>
      <c r="E31" s="15"/>
      <c r="F31" s="15"/>
      <c r="G31" s="15"/>
    </row>
    <row r="32" spans="1:7" s="33" customFormat="1" ht="13.5" hidden="1" customHeight="1">
      <c r="A32" s="390"/>
      <c r="B32" s="390" t="s">
        <v>64</v>
      </c>
      <c r="C32" s="391"/>
      <c r="D32" s="518"/>
      <c r="E32" s="15"/>
      <c r="F32" s="15"/>
      <c r="G32" s="15"/>
    </row>
    <row r="33" spans="1:7" s="33" customFormat="1" ht="13.5" hidden="1" customHeight="1">
      <c r="A33" s="390"/>
      <c r="B33" s="390"/>
      <c r="C33" s="391"/>
      <c r="D33" s="519"/>
      <c r="E33" s="15"/>
      <c r="F33" s="15"/>
      <c r="G33" s="15"/>
    </row>
    <row r="34" spans="1:7" s="33" customFormat="1" ht="13.5" hidden="1" customHeight="1">
      <c r="A34" s="396" t="s">
        <v>71</v>
      </c>
      <c r="B34" s="390" t="s">
        <v>63</v>
      </c>
      <c r="C34" s="391"/>
      <c r="D34" s="518"/>
      <c r="E34" s="15"/>
      <c r="F34" s="15"/>
      <c r="G34" s="15"/>
    </row>
    <row r="35" spans="1:7" s="33" customFormat="1" ht="13.5" hidden="1" customHeight="1">
      <c r="A35" s="390"/>
      <c r="B35" s="390"/>
      <c r="C35" s="391"/>
      <c r="D35" s="519"/>
      <c r="E35" s="15"/>
      <c r="F35" s="15"/>
      <c r="G35" s="15"/>
    </row>
    <row r="36" spans="1:7" s="33" customFormat="1" ht="13.5" hidden="1" customHeight="1">
      <c r="A36" s="390"/>
      <c r="B36" s="390" t="s">
        <v>64</v>
      </c>
      <c r="C36" s="391"/>
      <c r="D36" s="518"/>
      <c r="E36" s="15"/>
      <c r="F36" s="15"/>
      <c r="G36" s="15"/>
    </row>
    <row r="37" spans="1:7" s="33" customFormat="1" ht="13.5" hidden="1" customHeight="1">
      <c r="A37" s="390"/>
      <c r="B37" s="390"/>
      <c r="C37" s="391"/>
      <c r="D37" s="519"/>
      <c r="E37" s="15"/>
      <c r="F37" s="15"/>
      <c r="G37" s="15"/>
    </row>
    <row r="38" spans="1:7" s="33" customFormat="1" ht="14.25">
      <c r="A38" s="392" t="s">
        <v>60</v>
      </c>
      <c r="B38" s="393"/>
      <c r="C38" s="393"/>
      <c r="D38" s="531">
        <f>D16-D20</f>
        <v>21360</v>
      </c>
      <c r="E38" s="15"/>
      <c r="F38" s="15"/>
      <c r="G38" s="15"/>
    </row>
    <row r="39" spans="1:7" s="33" customFormat="1" ht="14.25">
      <c r="A39" s="394"/>
      <c r="B39" s="395"/>
      <c r="C39" s="395"/>
      <c r="D39" s="532"/>
      <c r="E39" s="15"/>
      <c r="F39" s="15"/>
      <c r="G39" s="15"/>
    </row>
  </sheetData>
  <mergeCells count="40">
    <mergeCell ref="B6:C6"/>
    <mergeCell ref="A11:C11"/>
    <mergeCell ref="B3:B4"/>
    <mergeCell ref="A3:A6"/>
    <mergeCell ref="B7:B8"/>
    <mergeCell ref="B9:B10"/>
    <mergeCell ref="A7:A10"/>
    <mergeCell ref="B5:C5"/>
    <mergeCell ref="D16:D17"/>
    <mergeCell ref="A12:A13"/>
    <mergeCell ref="B12:C12"/>
    <mergeCell ref="B13:C13"/>
    <mergeCell ref="A16:C17"/>
    <mergeCell ref="D20:D21"/>
    <mergeCell ref="B20:C21"/>
    <mergeCell ref="D18:D19"/>
    <mergeCell ref="A18:A21"/>
    <mergeCell ref="B18:C19"/>
    <mergeCell ref="A26:A29"/>
    <mergeCell ref="B26:C27"/>
    <mergeCell ref="D24:D25"/>
    <mergeCell ref="B24:C25"/>
    <mergeCell ref="D22:D23"/>
    <mergeCell ref="A22:A25"/>
    <mergeCell ref="B22:C23"/>
    <mergeCell ref="D28:D29"/>
    <mergeCell ref="B28:C29"/>
    <mergeCell ref="D26:D27"/>
    <mergeCell ref="D38:D39"/>
    <mergeCell ref="A38:C39"/>
    <mergeCell ref="D36:D37"/>
    <mergeCell ref="B36:C37"/>
    <mergeCell ref="D34:D35"/>
    <mergeCell ref="A34:A37"/>
    <mergeCell ref="B34:C35"/>
    <mergeCell ref="D32:D33"/>
    <mergeCell ref="B32:C33"/>
    <mergeCell ref="D30:D31"/>
    <mergeCell ref="A30:A33"/>
    <mergeCell ref="B30:C31"/>
  </mergeCells>
  <phoneticPr fontId="28"/>
  <pageMargins left="0" right="0" top="0" bottom="0" header="0" footer="0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2522-94ED-4C31-8617-E62223003C42}">
  <sheetPr>
    <tabColor rgb="FFFF0066"/>
  </sheetPr>
  <dimension ref="A1:L268"/>
  <sheetViews>
    <sheetView view="pageBreakPreview" zoomScaleNormal="100" zoomScaleSheetLayoutView="100" workbookViewId="0">
      <pane xSplit="2" ySplit="2" topLeftCell="C234" activePane="bottomRight" state="frozen"/>
      <selection pane="topRight" activeCell="L44" sqref="L44"/>
      <selection pane="bottomLeft" activeCell="L44" sqref="L44"/>
      <selection pane="bottomRight" activeCell="D227" sqref="D227:D228"/>
    </sheetView>
  </sheetViews>
  <sheetFormatPr defaultColWidth="9" defaultRowHeight="13.5"/>
  <cols>
    <col min="1" max="1" width="9" customWidth="1"/>
    <col min="2" max="2" width="25" customWidth="1"/>
    <col min="3" max="3" width="15.375" customWidth="1"/>
    <col min="4" max="6" width="15.625" customWidth="1"/>
    <col min="7" max="7" width="15.375" customWidth="1"/>
    <col min="8" max="8" width="12.875" customWidth="1"/>
    <col min="9" max="10" width="10.625" bestFit="1" customWidth="1"/>
    <col min="11" max="11" width="11.125" bestFit="1" customWidth="1"/>
  </cols>
  <sheetData>
    <row r="1" spans="1:8" ht="36" customHeight="1">
      <c r="A1" s="1" t="s">
        <v>238</v>
      </c>
      <c r="C1" s="112" t="s">
        <v>239</v>
      </c>
      <c r="D1" s="111" t="s">
        <v>240</v>
      </c>
      <c r="E1" s="69"/>
      <c r="F1" s="69"/>
      <c r="G1" s="2"/>
    </row>
    <row r="2" spans="1:8" s="15" customFormat="1" ht="20.100000000000001" customHeight="1">
      <c r="A2" s="37"/>
      <c r="B2" s="64" t="s">
        <v>1</v>
      </c>
      <c r="C2" s="66"/>
      <c r="D2" s="91">
        <v>45440</v>
      </c>
      <c r="E2" s="91">
        <v>45821</v>
      </c>
      <c r="F2" s="55"/>
      <c r="G2" s="14" t="s">
        <v>2</v>
      </c>
    </row>
    <row r="3" spans="1:8" s="15" customFormat="1" ht="20.100000000000001" customHeight="1">
      <c r="A3" s="473" t="s">
        <v>3</v>
      </c>
      <c r="B3" s="474" t="s">
        <v>4</v>
      </c>
      <c r="C3" s="191" t="s">
        <v>5</v>
      </c>
      <c r="D3" s="68"/>
      <c r="E3" s="16"/>
      <c r="F3" s="16"/>
      <c r="G3" s="17">
        <f t="shared" ref="G3:G30" si="0">SUM(D3:F3)</f>
        <v>0</v>
      </c>
    </row>
    <row r="4" spans="1:8" s="15" customFormat="1" ht="20.100000000000001" customHeight="1">
      <c r="A4" s="473"/>
      <c r="B4" s="474"/>
      <c r="C4" s="98" t="s">
        <v>6</v>
      </c>
      <c r="D4" s="47">
        <f>D3*1.1</f>
        <v>0</v>
      </c>
      <c r="E4" s="18">
        <f>E3*1.1</f>
        <v>0</v>
      </c>
      <c r="F4" s="18">
        <f>F3*1.1</f>
        <v>0</v>
      </c>
      <c r="G4" s="17">
        <f t="shared" si="0"/>
        <v>0</v>
      </c>
    </row>
    <row r="5" spans="1:8" s="15" customFormat="1" ht="24.95" customHeight="1">
      <c r="A5" s="473"/>
      <c r="B5" s="442" t="s">
        <v>7</v>
      </c>
      <c r="C5" s="98" t="s">
        <v>5</v>
      </c>
      <c r="D5" s="94">
        <f>D3/0.95</f>
        <v>0</v>
      </c>
      <c r="E5" s="19"/>
      <c r="F5" s="19">
        <f>F3/0.95</f>
        <v>0</v>
      </c>
      <c r="G5" s="17">
        <f t="shared" si="0"/>
        <v>0</v>
      </c>
    </row>
    <row r="6" spans="1:8" s="15" customFormat="1" ht="20.100000000000001" customHeight="1">
      <c r="A6" s="473"/>
      <c r="B6" s="442"/>
      <c r="C6" s="98" t="s">
        <v>6</v>
      </c>
      <c r="D6" s="47">
        <f>D5*1.1</f>
        <v>0</v>
      </c>
      <c r="E6" s="18">
        <f>E5*1.1</f>
        <v>0</v>
      </c>
      <c r="F6" s="18">
        <f>F5*1.1</f>
        <v>0</v>
      </c>
      <c r="G6" s="17">
        <f t="shared" si="0"/>
        <v>0</v>
      </c>
    </row>
    <row r="7" spans="1:8" s="15" customFormat="1" ht="20.100000000000001" customHeight="1">
      <c r="A7" s="473"/>
      <c r="B7" s="442" t="s">
        <v>8</v>
      </c>
      <c r="C7" s="92" t="s">
        <v>5</v>
      </c>
      <c r="D7" s="107"/>
      <c r="E7" s="20"/>
      <c r="F7" s="20"/>
      <c r="G7" s="17">
        <f t="shared" si="0"/>
        <v>0</v>
      </c>
      <c r="H7" s="34" t="e">
        <f>#REF!+#REF!</f>
        <v>#REF!</v>
      </c>
    </row>
    <row r="8" spans="1:8" s="15" customFormat="1" ht="20.100000000000001" customHeight="1">
      <c r="A8" s="473"/>
      <c r="B8" s="442"/>
      <c r="C8" s="92" t="s">
        <v>6</v>
      </c>
      <c r="D8" s="104">
        <f>D7*1.1</f>
        <v>0</v>
      </c>
      <c r="E8" s="18">
        <f>E7*1.1</f>
        <v>0</v>
      </c>
      <c r="F8" s="18">
        <f>F7*1.1</f>
        <v>0</v>
      </c>
      <c r="G8" s="17">
        <f t="shared" si="0"/>
        <v>0</v>
      </c>
    </row>
    <row r="9" spans="1:8" s="15" customFormat="1" ht="20.100000000000001" customHeight="1">
      <c r="A9" s="473"/>
      <c r="B9" s="474" t="s">
        <v>9</v>
      </c>
      <c r="C9" s="98" t="s">
        <v>5</v>
      </c>
      <c r="D9" s="192">
        <v>14000</v>
      </c>
      <c r="E9" s="20">
        <v>11460</v>
      </c>
      <c r="F9" s="20"/>
      <c r="G9" s="17">
        <f t="shared" si="0"/>
        <v>25460</v>
      </c>
      <c r="H9" s="34" t="e">
        <f>#REF!+#REF!</f>
        <v>#REF!</v>
      </c>
    </row>
    <row r="10" spans="1:8" s="15" customFormat="1" ht="20.100000000000001" customHeight="1">
      <c r="A10" s="473"/>
      <c r="B10" s="474"/>
      <c r="C10" s="98" t="s">
        <v>6</v>
      </c>
      <c r="D10" s="47">
        <f>D9*1.1</f>
        <v>15400.000000000002</v>
      </c>
      <c r="E10" s="47">
        <f>E9*1.1</f>
        <v>12606.000000000002</v>
      </c>
      <c r="F10" s="47">
        <f>F9*1.1</f>
        <v>0</v>
      </c>
      <c r="G10" s="17">
        <f t="shared" si="0"/>
        <v>28006.000000000004</v>
      </c>
    </row>
    <row r="11" spans="1:8" s="15" customFormat="1" ht="20.100000000000001" customHeight="1">
      <c r="A11" s="473"/>
      <c r="B11" s="442" t="s">
        <v>10</v>
      </c>
      <c r="C11" s="98" t="s">
        <v>5</v>
      </c>
      <c r="D11" s="95">
        <f>D9/0.95</f>
        <v>14736.842105263158</v>
      </c>
      <c r="E11" s="20">
        <v>11460</v>
      </c>
      <c r="F11" s="20">
        <f>F9/0.95</f>
        <v>0</v>
      </c>
      <c r="G11" s="17">
        <f t="shared" si="0"/>
        <v>26196.84210526316</v>
      </c>
    </row>
    <row r="12" spans="1:8" s="15" customFormat="1" ht="20.100000000000001" customHeight="1">
      <c r="A12" s="473"/>
      <c r="B12" s="442"/>
      <c r="C12" s="98" t="s">
        <v>6</v>
      </c>
      <c r="D12" s="50">
        <f>D11*1.1</f>
        <v>16210.526315789475</v>
      </c>
      <c r="E12" s="50">
        <f>E11*1.1</f>
        <v>12606.000000000002</v>
      </c>
      <c r="F12" s="21">
        <f>F11*1.1</f>
        <v>0</v>
      </c>
      <c r="G12" s="17">
        <f t="shared" si="0"/>
        <v>28816.526315789477</v>
      </c>
    </row>
    <row r="13" spans="1:8" s="15" customFormat="1" ht="20.100000000000001" customHeight="1">
      <c r="A13" s="473"/>
      <c r="B13" s="442" t="s">
        <v>11</v>
      </c>
      <c r="C13" s="98" t="s">
        <v>5</v>
      </c>
      <c r="D13" s="50"/>
      <c r="E13" s="21"/>
      <c r="F13" s="21"/>
      <c r="G13" s="17">
        <f t="shared" si="0"/>
        <v>0</v>
      </c>
    </row>
    <row r="14" spans="1:8" s="15" customFormat="1" ht="20.100000000000001" customHeight="1">
      <c r="A14" s="473"/>
      <c r="B14" s="442"/>
      <c r="C14" s="98" t="s">
        <v>6</v>
      </c>
      <c r="D14" s="50"/>
      <c r="E14" s="21"/>
      <c r="F14" s="21">
        <f>F13*1.1</f>
        <v>0</v>
      </c>
      <c r="G14" s="17">
        <f t="shared" si="0"/>
        <v>0</v>
      </c>
    </row>
    <row r="15" spans="1:8" s="15" customFormat="1" ht="20.100000000000001" customHeight="1">
      <c r="A15" s="473"/>
      <c r="B15" s="442" t="s">
        <v>12</v>
      </c>
      <c r="C15" s="92" t="s">
        <v>5</v>
      </c>
      <c r="D15" s="104"/>
      <c r="E15" s="18"/>
      <c r="F15" s="18"/>
      <c r="G15" s="17">
        <f t="shared" si="0"/>
        <v>0</v>
      </c>
    </row>
    <row r="16" spans="1:8" s="15" customFormat="1" ht="20.100000000000001" customHeight="1">
      <c r="A16" s="473"/>
      <c r="B16" s="442"/>
      <c r="C16" s="92" t="s">
        <v>6</v>
      </c>
      <c r="D16" s="104">
        <f>D15*1.1</f>
        <v>0</v>
      </c>
      <c r="E16" s="73">
        <f>E15*1.1</f>
        <v>0</v>
      </c>
      <c r="F16" s="18">
        <f>F15*1.1</f>
        <v>0</v>
      </c>
      <c r="G16" s="17">
        <f t="shared" si="0"/>
        <v>0</v>
      </c>
    </row>
    <row r="17" spans="1:8" s="15" customFormat="1" ht="20.100000000000001" customHeight="1">
      <c r="A17" s="473"/>
      <c r="B17" s="472" t="s">
        <v>13</v>
      </c>
      <c r="C17" s="92" t="s">
        <v>5</v>
      </c>
      <c r="D17" s="106"/>
      <c r="E17" s="118"/>
      <c r="F17" s="18"/>
      <c r="G17" s="17">
        <f t="shared" si="0"/>
        <v>0</v>
      </c>
    </row>
    <row r="18" spans="1:8" s="15" customFormat="1" ht="20.100000000000001" customHeight="1">
      <c r="A18" s="473"/>
      <c r="B18" s="472"/>
      <c r="C18" s="92" t="s">
        <v>6</v>
      </c>
      <c r="D18" s="104">
        <f>D17*1.1</f>
        <v>0</v>
      </c>
      <c r="E18" s="73">
        <f>E17*1.1</f>
        <v>0</v>
      </c>
      <c r="F18" s="18">
        <f>F17*1.1</f>
        <v>0</v>
      </c>
      <c r="G18" s="17">
        <f t="shared" si="0"/>
        <v>0</v>
      </c>
      <c r="H18" s="23"/>
    </row>
    <row r="19" spans="1:8" s="15" customFormat="1" ht="20.100000000000001" customHeight="1">
      <c r="A19" s="473"/>
      <c r="B19" s="442" t="s">
        <v>14</v>
      </c>
      <c r="C19" s="92" t="s">
        <v>5</v>
      </c>
      <c r="D19" s="104"/>
      <c r="E19" s="73"/>
      <c r="F19" s="18"/>
      <c r="G19" s="17">
        <f t="shared" si="0"/>
        <v>0</v>
      </c>
    </row>
    <row r="20" spans="1:8" s="15" customFormat="1" ht="20.100000000000001" customHeight="1">
      <c r="A20" s="473"/>
      <c r="B20" s="442"/>
      <c r="C20" s="92" t="s">
        <v>6</v>
      </c>
      <c r="D20" s="104">
        <f>D19*1.1</f>
        <v>0</v>
      </c>
      <c r="E20" s="117">
        <f>E19*1.1</f>
        <v>0</v>
      </c>
      <c r="F20" s="18">
        <f>F19*1.1</f>
        <v>0</v>
      </c>
      <c r="G20" s="17">
        <f t="shared" si="0"/>
        <v>0</v>
      </c>
    </row>
    <row r="21" spans="1:8" s="15" customFormat="1" ht="20.100000000000001" customHeight="1">
      <c r="A21" s="473"/>
      <c r="B21" s="472" t="s">
        <v>15</v>
      </c>
      <c r="C21" s="92" t="s">
        <v>5</v>
      </c>
      <c r="D21" s="47"/>
      <c r="E21" s="73"/>
      <c r="F21" s="18"/>
      <c r="G21" s="17">
        <f t="shared" si="0"/>
        <v>0</v>
      </c>
    </row>
    <row r="22" spans="1:8" s="15" customFormat="1" ht="20.100000000000001" customHeight="1">
      <c r="A22" s="473"/>
      <c r="B22" s="472"/>
      <c r="C22" s="92" t="s">
        <v>6</v>
      </c>
      <c r="D22" s="50">
        <f>D21*1.1</f>
        <v>0</v>
      </c>
      <c r="E22" s="75"/>
      <c r="F22" s="21">
        <f>F21*1.1</f>
        <v>0</v>
      </c>
      <c r="G22" s="17">
        <f t="shared" si="0"/>
        <v>0</v>
      </c>
    </row>
    <row r="23" spans="1:8" s="15" customFormat="1" ht="20.100000000000001" customHeight="1">
      <c r="A23" s="473"/>
      <c r="B23" s="442" t="s">
        <v>16</v>
      </c>
      <c r="C23" s="92" t="s">
        <v>5</v>
      </c>
      <c r="D23" s="47"/>
      <c r="E23" s="18"/>
      <c r="F23" s="18"/>
      <c r="G23" s="17">
        <f t="shared" si="0"/>
        <v>0</v>
      </c>
    </row>
    <row r="24" spans="1:8" s="15" customFormat="1" ht="20.100000000000001" customHeight="1">
      <c r="A24" s="473"/>
      <c r="B24" s="442"/>
      <c r="C24" s="92" t="s">
        <v>6</v>
      </c>
      <c r="D24" s="47">
        <f>D23*1.1</f>
        <v>0</v>
      </c>
      <c r="E24" s="18"/>
      <c r="F24" s="18">
        <f>F23*1.1</f>
        <v>0</v>
      </c>
      <c r="G24" s="17">
        <f t="shared" si="0"/>
        <v>0</v>
      </c>
    </row>
    <row r="25" spans="1:8" s="15" customFormat="1" ht="20.100000000000001" customHeight="1">
      <c r="A25" s="473"/>
      <c r="B25" s="442" t="s">
        <v>17</v>
      </c>
      <c r="C25" s="92" t="s">
        <v>5</v>
      </c>
      <c r="D25" s="104"/>
      <c r="E25" s="18"/>
      <c r="F25" s="18"/>
      <c r="G25" s="17">
        <f t="shared" si="0"/>
        <v>0</v>
      </c>
    </row>
    <row r="26" spans="1:8" s="15" customFormat="1" ht="20.100000000000001" customHeight="1">
      <c r="A26" s="473"/>
      <c r="B26" s="442"/>
      <c r="C26" s="92" t="s">
        <v>6</v>
      </c>
      <c r="D26" s="104">
        <f>D25*1.1</f>
        <v>0</v>
      </c>
      <c r="E26" s="18"/>
      <c r="F26" s="18">
        <f>F25*1.1</f>
        <v>0</v>
      </c>
      <c r="G26" s="17">
        <f t="shared" si="0"/>
        <v>0</v>
      </c>
    </row>
    <row r="27" spans="1:8" s="15" customFormat="1" ht="20.100000000000001" customHeight="1">
      <c r="A27" s="473"/>
      <c r="B27" s="442" t="s">
        <v>18</v>
      </c>
      <c r="C27" s="92" t="s">
        <v>5</v>
      </c>
      <c r="D27" s="47"/>
      <c r="E27" s="18"/>
      <c r="F27" s="18"/>
      <c r="G27" s="17">
        <f t="shared" si="0"/>
        <v>0</v>
      </c>
    </row>
    <row r="28" spans="1:8" s="15" customFormat="1" ht="20.100000000000001" customHeight="1">
      <c r="A28" s="473"/>
      <c r="B28" s="442"/>
      <c r="C28" s="92" t="s">
        <v>6</v>
      </c>
      <c r="D28" s="47"/>
      <c r="E28" s="18"/>
      <c r="F28" s="18"/>
      <c r="G28" s="17">
        <f t="shared" si="0"/>
        <v>0</v>
      </c>
    </row>
    <row r="29" spans="1:8" s="15" customFormat="1" ht="20.100000000000001" customHeight="1">
      <c r="A29" s="473"/>
      <c r="B29" s="442" t="s">
        <v>19</v>
      </c>
      <c r="C29" s="92" t="s">
        <v>5</v>
      </c>
      <c r="D29" s="104"/>
      <c r="E29" s="18"/>
      <c r="F29" s="18"/>
      <c r="G29" s="17">
        <f t="shared" si="0"/>
        <v>0</v>
      </c>
      <c r="H29" s="43"/>
    </row>
    <row r="30" spans="1:8" s="15" customFormat="1" ht="20.100000000000001" customHeight="1">
      <c r="A30" s="473"/>
      <c r="B30" s="442"/>
      <c r="C30" s="92" t="s">
        <v>6</v>
      </c>
      <c r="D30" s="104">
        <f>D29*1.1</f>
        <v>0</v>
      </c>
      <c r="E30" s="18">
        <f>E29*1.1</f>
        <v>0</v>
      </c>
      <c r="F30" s="18">
        <f>F29*1.1</f>
        <v>0</v>
      </c>
      <c r="G30" s="17">
        <f t="shared" si="0"/>
        <v>0</v>
      </c>
    </row>
    <row r="31" spans="1:8" s="15" customFormat="1" ht="20.100000000000001" customHeight="1">
      <c r="A31" s="473"/>
      <c r="B31" s="442" t="s">
        <v>92</v>
      </c>
      <c r="C31" s="92" t="s">
        <v>5</v>
      </c>
      <c r="D31" s="47"/>
      <c r="E31" s="18"/>
      <c r="F31" s="18"/>
      <c r="G31" s="17"/>
    </row>
    <row r="32" spans="1:8" s="15" customFormat="1" ht="20.100000000000001" customHeight="1">
      <c r="A32" s="473"/>
      <c r="B32" s="442"/>
      <c r="C32" s="92" t="s">
        <v>6</v>
      </c>
      <c r="D32" s="47"/>
      <c r="E32" s="18"/>
      <c r="F32" s="18"/>
      <c r="G32" s="17"/>
    </row>
    <row r="33" spans="1:7" s="15" customFormat="1" ht="20.100000000000001" customHeight="1">
      <c r="A33" s="473"/>
      <c r="B33" s="442" t="s">
        <v>94</v>
      </c>
      <c r="C33" s="92" t="s">
        <v>5</v>
      </c>
      <c r="D33" s="47"/>
      <c r="E33" s="18"/>
      <c r="F33" s="18"/>
      <c r="G33" s="17">
        <f t="shared" ref="G33:G47" si="1">SUM(D33:F33)</f>
        <v>0</v>
      </c>
    </row>
    <row r="34" spans="1:7" s="15" customFormat="1" ht="20.100000000000001" customHeight="1">
      <c r="A34" s="473"/>
      <c r="B34" s="442"/>
      <c r="C34" s="92" t="s">
        <v>6</v>
      </c>
      <c r="D34" s="47"/>
      <c r="E34" s="18"/>
      <c r="F34" s="18">
        <f>F33*1.1</f>
        <v>0</v>
      </c>
      <c r="G34" s="17">
        <f t="shared" si="1"/>
        <v>0</v>
      </c>
    </row>
    <row r="35" spans="1:7" s="15" customFormat="1" ht="20.100000000000001" customHeight="1">
      <c r="A35" s="473"/>
      <c r="B35" s="442" t="s">
        <v>97</v>
      </c>
      <c r="C35" s="92" t="s">
        <v>5</v>
      </c>
      <c r="D35" s="47"/>
      <c r="E35" s="18"/>
      <c r="F35" s="18"/>
      <c r="G35" s="17">
        <f t="shared" si="1"/>
        <v>0</v>
      </c>
    </row>
    <row r="36" spans="1:7" s="15" customFormat="1" ht="20.100000000000001" customHeight="1">
      <c r="A36" s="473"/>
      <c r="B36" s="442"/>
      <c r="C36" s="92" t="s">
        <v>6</v>
      </c>
      <c r="D36" s="47">
        <f>D35*1.1</f>
        <v>0</v>
      </c>
      <c r="E36" s="18">
        <f>E35*1.1</f>
        <v>0</v>
      </c>
      <c r="F36" s="18">
        <f>F35*1.1</f>
        <v>0</v>
      </c>
      <c r="G36" s="17">
        <f t="shared" si="1"/>
        <v>0</v>
      </c>
    </row>
    <row r="37" spans="1:7" s="15" customFormat="1" ht="20.100000000000001" customHeight="1">
      <c r="A37" s="473"/>
      <c r="B37" s="442" t="s">
        <v>98</v>
      </c>
      <c r="C37" s="92" t="s">
        <v>5</v>
      </c>
      <c r="D37" s="47"/>
      <c r="E37" s="18"/>
      <c r="F37" s="18"/>
      <c r="G37" s="17">
        <f t="shared" si="1"/>
        <v>0</v>
      </c>
    </row>
    <row r="38" spans="1:7" s="15" customFormat="1" ht="20.100000000000001" customHeight="1">
      <c r="A38" s="473"/>
      <c r="B38" s="442"/>
      <c r="C38" s="92" t="s">
        <v>6</v>
      </c>
      <c r="D38" s="47"/>
      <c r="E38" s="18"/>
      <c r="F38" s="18">
        <f>F37*1.1</f>
        <v>0</v>
      </c>
      <c r="G38" s="17">
        <f t="shared" si="1"/>
        <v>0</v>
      </c>
    </row>
    <row r="39" spans="1:7" s="15" customFormat="1" ht="20.100000000000001" customHeight="1">
      <c r="A39" s="473"/>
      <c r="B39" s="442" t="s">
        <v>100</v>
      </c>
      <c r="C39" s="92" t="s">
        <v>5</v>
      </c>
      <c r="D39" s="104"/>
      <c r="E39" s="18"/>
      <c r="F39" s="18"/>
      <c r="G39" s="17">
        <f t="shared" si="1"/>
        <v>0</v>
      </c>
    </row>
    <row r="40" spans="1:7" s="15" customFormat="1" ht="20.100000000000001" customHeight="1">
      <c r="A40" s="473"/>
      <c r="B40" s="442"/>
      <c r="C40" s="92" t="s">
        <v>6</v>
      </c>
      <c r="D40" s="104">
        <f>D39*1.1</f>
        <v>0</v>
      </c>
      <c r="E40" s="18"/>
      <c r="F40" s="18"/>
      <c r="G40" s="17">
        <f t="shared" si="1"/>
        <v>0</v>
      </c>
    </row>
    <row r="41" spans="1:7" s="15" customFormat="1" ht="20.100000000000001" customHeight="1">
      <c r="A41" s="473"/>
      <c r="B41" s="442" t="s">
        <v>102</v>
      </c>
      <c r="C41" s="92" t="s">
        <v>5</v>
      </c>
      <c r="D41" s="104"/>
      <c r="E41" s="18"/>
      <c r="F41" s="18"/>
      <c r="G41" s="17">
        <f t="shared" si="1"/>
        <v>0</v>
      </c>
    </row>
    <row r="42" spans="1:7" s="15" customFormat="1" ht="20.100000000000001" customHeight="1">
      <c r="A42" s="473"/>
      <c r="B42" s="442"/>
      <c r="C42" s="92" t="s">
        <v>6</v>
      </c>
      <c r="D42" s="104">
        <f>D41*1.1</f>
        <v>0</v>
      </c>
      <c r="E42" s="73">
        <f>E41*1.1</f>
        <v>0</v>
      </c>
      <c r="F42" s="18">
        <f>F41*1.08</f>
        <v>0</v>
      </c>
      <c r="G42" s="17">
        <f t="shared" si="1"/>
        <v>0</v>
      </c>
    </row>
    <row r="43" spans="1:7" s="15" customFormat="1" ht="20.100000000000001" customHeight="1">
      <c r="A43" s="473"/>
      <c r="B43" s="442" t="s">
        <v>103</v>
      </c>
      <c r="C43" s="92" t="s">
        <v>5</v>
      </c>
      <c r="D43" s="104"/>
      <c r="E43" s="73"/>
      <c r="F43" s="18"/>
      <c r="G43" s="17">
        <f t="shared" si="1"/>
        <v>0</v>
      </c>
    </row>
    <row r="44" spans="1:7" s="15" customFormat="1" ht="20.100000000000001" customHeight="1">
      <c r="A44" s="473"/>
      <c r="B44" s="442"/>
      <c r="C44" s="92" t="s">
        <v>6</v>
      </c>
      <c r="D44" s="104">
        <f>D43*1.1</f>
        <v>0</v>
      </c>
      <c r="E44" s="117">
        <f>E43*1.1</f>
        <v>0</v>
      </c>
      <c r="F44" s="18"/>
      <c r="G44" s="17">
        <f t="shared" si="1"/>
        <v>0</v>
      </c>
    </row>
    <row r="45" spans="1:7" s="15" customFormat="1" ht="20.100000000000001" customHeight="1">
      <c r="A45" s="473"/>
      <c r="B45" s="442" t="s">
        <v>104</v>
      </c>
      <c r="C45" s="92" t="s">
        <v>5</v>
      </c>
      <c r="D45" s="104"/>
      <c r="E45" s="73"/>
      <c r="F45" s="18"/>
      <c r="G45" s="17">
        <f t="shared" si="1"/>
        <v>0</v>
      </c>
    </row>
    <row r="46" spans="1:7" s="15" customFormat="1" ht="20.100000000000001" customHeight="1">
      <c r="A46" s="473"/>
      <c r="B46" s="442"/>
      <c r="C46" s="92" t="s">
        <v>6</v>
      </c>
      <c r="D46" s="104"/>
      <c r="E46" s="73">
        <f>E45*1.1</f>
        <v>0</v>
      </c>
      <c r="F46" s="18">
        <f>F45*1.1</f>
        <v>0</v>
      </c>
      <c r="G46" s="17">
        <f t="shared" si="1"/>
        <v>0</v>
      </c>
    </row>
    <row r="47" spans="1:7" s="15" customFormat="1" ht="20.100000000000001" customHeight="1">
      <c r="A47" s="473"/>
      <c r="B47" s="442" t="s">
        <v>105</v>
      </c>
      <c r="C47" s="92" t="s">
        <v>5</v>
      </c>
      <c r="D47" s="47"/>
      <c r="E47" s="18"/>
      <c r="F47" s="18"/>
      <c r="G47" s="17">
        <f t="shared" si="1"/>
        <v>0</v>
      </c>
    </row>
    <row r="48" spans="1:7" s="15" customFormat="1" ht="20.100000000000001" customHeight="1">
      <c r="A48" s="473"/>
      <c r="B48" s="442"/>
      <c r="C48" s="92" t="s">
        <v>6</v>
      </c>
      <c r="D48" s="80"/>
      <c r="E48" s="48"/>
      <c r="F48" s="18"/>
      <c r="G48" s="17"/>
    </row>
    <row r="49" spans="1:7" s="15" customFormat="1" ht="20.100000000000001" customHeight="1">
      <c r="A49" s="473"/>
      <c r="B49" s="371" t="s">
        <v>229</v>
      </c>
      <c r="C49" s="92" t="s">
        <v>5</v>
      </c>
      <c r="D49" s="80"/>
      <c r="E49" s="48"/>
      <c r="F49" s="47"/>
      <c r="G49" s="17"/>
    </row>
    <row r="50" spans="1:7" s="15" customFormat="1" ht="20.100000000000001" customHeight="1">
      <c r="A50" s="473"/>
      <c r="B50" s="372"/>
      <c r="C50" s="187" t="s">
        <v>6</v>
      </c>
      <c r="D50" s="80"/>
      <c r="E50" s="48"/>
      <c r="F50" s="47"/>
      <c r="G50" s="17"/>
    </row>
    <row r="51" spans="1:7" s="15" customFormat="1" ht="20.100000000000001" customHeight="1">
      <c r="A51" s="473"/>
      <c r="B51" s="442" t="s">
        <v>106</v>
      </c>
      <c r="C51" s="92" t="s">
        <v>5</v>
      </c>
      <c r="D51" s="18"/>
      <c r="E51" s="18"/>
      <c r="F51" s="47"/>
      <c r="G51" s="17">
        <f>SUM(D51:F51)</f>
        <v>0</v>
      </c>
    </row>
    <row r="52" spans="1:7" s="15" customFormat="1" ht="20.100000000000001" customHeight="1">
      <c r="A52" s="473"/>
      <c r="B52" s="442"/>
      <c r="C52" s="92" t="s">
        <v>6</v>
      </c>
      <c r="D52" s="18"/>
      <c r="E52" s="18"/>
      <c r="F52" s="47"/>
      <c r="G52" s="17"/>
    </row>
    <row r="53" spans="1:7" s="15" customFormat="1" ht="20.100000000000001" customHeight="1">
      <c r="A53" s="473"/>
      <c r="B53" s="442" t="s">
        <v>107</v>
      </c>
      <c r="C53" s="92" t="s">
        <v>5</v>
      </c>
      <c r="D53" s="18"/>
      <c r="E53" s="18"/>
      <c r="F53" s="47"/>
      <c r="G53" s="17">
        <f>SUM(D53:F53)</f>
        <v>0</v>
      </c>
    </row>
    <row r="54" spans="1:7" s="15" customFormat="1" ht="20.100000000000001" customHeight="1">
      <c r="A54" s="473"/>
      <c r="B54" s="442"/>
      <c r="C54" s="92" t="s">
        <v>6</v>
      </c>
      <c r="D54" s="102"/>
      <c r="E54" s="103"/>
      <c r="F54" s="47"/>
      <c r="G54" s="17"/>
    </row>
    <row r="55" spans="1:7" s="15" customFormat="1" ht="20.100000000000001" customHeight="1">
      <c r="A55" s="473"/>
      <c r="B55" s="442" t="s">
        <v>108</v>
      </c>
      <c r="C55" s="92" t="s">
        <v>5</v>
      </c>
      <c r="D55" s="96"/>
      <c r="E55" s="78"/>
      <c r="F55" s="47"/>
      <c r="G55" s="17">
        <f>SUM(D55:F55)</f>
        <v>0</v>
      </c>
    </row>
    <row r="56" spans="1:7" s="15" customFormat="1" ht="20.100000000000001" customHeight="1">
      <c r="A56" s="473"/>
      <c r="B56" s="442"/>
      <c r="C56" s="92" t="s">
        <v>6</v>
      </c>
      <c r="D56" s="96"/>
      <c r="E56" s="78"/>
      <c r="F56" s="47"/>
      <c r="G56" s="17"/>
    </row>
    <row r="57" spans="1:7" s="15" customFormat="1" ht="20.100000000000001" customHeight="1">
      <c r="A57" s="473"/>
      <c r="B57" s="442" t="s">
        <v>109</v>
      </c>
      <c r="C57" s="92" t="s">
        <v>5</v>
      </c>
      <c r="D57" s="97">
        <v>8200</v>
      </c>
      <c r="E57" s="78"/>
      <c r="F57" s="47"/>
      <c r="G57" s="17">
        <f t="shared" ref="G57:G80" si="2">SUM(D57:F57)</f>
        <v>8200</v>
      </c>
    </row>
    <row r="58" spans="1:7" s="15" customFormat="1" ht="20.100000000000001" customHeight="1">
      <c r="A58" s="473"/>
      <c r="B58" s="442"/>
      <c r="C58" s="92" t="s">
        <v>6</v>
      </c>
      <c r="D58" s="97">
        <f>D57*1.1</f>
        <v>9020</v>
      </c>
      <c r="E58" s="78"/>
      <c r="F58" s="47">
        <f>F57*1.1</f>
        <v>0</v>
      </c>
      <c r="G58" s="17">
        <f t="shared" si="2"/>
        <v>9020</v>
      </c>
    </row>
    <row r="59" spans="1:7" s="15" customFormat="1" ht="20.100000000000001" customHeight="1">
      <c r="A59" s="473"/>
      <c r="B59" s="442" t="s">
        <v>110</v>
      </c>
      <c r="C59" s="92" t="s">
        <v>5</v>
      </c>
      <c r="D59" s="109"/>
      <c r="E59" s="49"/>
      <c r="F59" s="18"/>
      <c r="G59" s="17">
        <f t="shared" si="2"/>
        <v>0</v>
      </c>
    </row>
    <row r="60" spans="1:7" s="15" customFormat="1" ht="20.100000000000001" customHeight="1">
      <c r="A60" s="473"/>
      <c r="B60" s="442"/>
      <c r="C60" s="92" t="s">
        <v>6</v>
      </c>
      <c r="D60" s="104">
        <f>D59*1.1</f>
        <v>0</v>
      </c>
      <c r="E60" s="18">
        <f>E59*1.1</f>
        <v>0</v>
      </c>
      <c r="F60" s="18"/>
      <c r="G60" s="17">
        <f t="shared" si="2"/>
        <v>0</v>
      </c>
    </row>
    <row r="61" spans="1:7" s="15" customFormat="1" ht="20.100000000000001" customHeight="1">
      <c r="A61" s="473"/>
      <c r="B61" s="442" t="s">
        <v>111</v>
      </c>
      <c r="C61" s="92" t="s">
        <v>5</v>
      </c>
      <c r="D61" s="47"/>
      <c r="E61" s="18"/>
      <c r="F61" s="18"/>
      <c r="G61" s="17">
        <f t="shared" si="2"/>
        <v>0</v>
      </c>
    </row>
    <row r="62" spans="1:7" s="15" customFormat="1" ht="20.100000000000001" customHeight="1">
      <c r="A62" s="473"/>
      <c r="B62" s="442"/>
      <c r="C62" s="92" t="s">
        <v>6</v>
      </c>
      <c r="D62" s="47">
        <f>D61*1.1</f>
        <v>0</v>
      </c>
      <c r="E62" s="18">
        <f>E61*1.1</f>
        <v>0</v>
      </c>
      <c r="F62" s="18">
        <f>F61*1.1</f>
        <v>0</v>
      </c>
      <c r="G62" s="17">
        <f t="shared" si="2"/>
        <v>0</v>
      </c>
    </row>
    <row r="63" spans="1:7" s="15" customFormat="1" ht="20.100000000000001" customHeight="1">
      <c r="A63" s="473"/>
      <c r="B63" s="442" t="s">
        <v>112</v>
      </c>
      <c r="C63" s="92" t="s">
        <v>5</v>
      </c>
      <c r="D63" s="47"/>
      <c r="E63" s="18"/>
      <c r="F63" s="18"/>
      <c r="G63" s="17">
        <f t="shared" si="2"/>
        <v>0</v>
      </c>
    </row>
    <row r="64" spans="1:7" s="15" customFormat="1" ht="20.100000000000001" customHeight="1">
      <c r="A64" s="473"/>
      <c r="B64" s="442"/>
      <c r="C64" s="92" t="s">
        <v>6</v>
      </c>
      <c r="D64" s="47">
        <f>D63*1.1</f>
        <v>0</v>
      </c>
      <c r="E64" s="18">
        <f>E63*1.1</f>
        <v>0</v>
      </c>
      <c r="F64" s="18">
        <f>F63*1.1</f>
        <v>0</v>
      </c>
      <c r="G64" s="17">
        <f t="shared" si="2"/>
        <v>0</v>
      </c>
    </row>
    <row r="65" spans="1:7" s="15" customFormat="1" ht="20.100000000000001" customHeight="1">
      <c r="A65" s="473"/>
      <c r="B65" s="442" t="s">
        <v>113</v>
      </c>
      <c r="C65" s="92" t="s">
        <v>5</v>
      </c>
      <c r="D65" s="47"/>
      <c r="E65" s="18"/>
      <c r="F65" s="18"/>
      <c r="G65" s="17">
        <f t="shared" si="2"/>
        <v>0</v>
      </c>
    </row>
    <row r="66" spans="1:7" s="15" customFormat="1" ht="20.100000000000001" customHeight="1">
      <c r="A66" s="473"/>
      <c r="B66" s="442"/>
      <c r="C66" s="92" t="s">
        <v>6</v>
      </c>
      <c r="D66" s="47"/>
      <c r="E66" s="18"/>
      <c r="F66" s="18"/>
      <c r="G66" s="17">
        <f t="shared" si="2"/>
        <v>0</v>
      </c>
    </row>
    <row r="67" spans="1:7" s="15" customFormat="1" ht="20.100000000000001" customHeight="1">
      <c r="A67" s="473"/>
      <c r="B67" s="442" t="s">
        <v>26</v>
      </c>
      <c r="C67" s="92" t="s">
        <v>5</v>
      </c>
      <c r="D67" s="47"/>
      <c r="E67" s="18"/>
      <c r="F67" s="18"/>
      <c r="G67" s="17">
        <f t="shared" si="2"/>
        <v>0</v>
      </c>
    </row>
    <row r="68" spans="1:7" s="15" customFormat="1" ht="20.100000000000001" customHeight="1">
      <c r="A68" s="473"/>
      <c r="B68" s="442"/>
      <c r="C68" s="92" t="s">
        <v>6</v>
      </c>
      <c r="D68" s="47">
        <f>D67*1.1</f>
        <v>0</v>
      </c>
      <c r="E68" s="18">
        <f>E67*1.1</f>
        <v>0</v>
      </c>
      <c r="F68" s="18">
        <f>F67*1.1</f>
        <v>0</v>
      </c>
      <c r="G68" s="17">
        <f t="shared" si="2"/>
        <v>0</v>
      </c>
    </row>
    <row r="69" spans="1:7" s="15" customFormat="1" ht="20.100000000000001" customHeight="1">
      <c r="A69" s="473"/>
      <c r="B69" s="442" t="s">
        <v>114</v>
      </c>
      <c r="C69" s="92" t="s">
        <v>5</v>
      </c>
      <c r="D69" s="47">
        <v>0</v>
      </c>
      <c r="E69" s="18"/>
      <c r="F69" s="18"/>
      <c r="G69" s="17">
        <f t="shared" si="2"/>
        <v>0</v>
      </c>
    </row>
    <row r="70" spans="1:7" s="15" customFormat="1" ht="20.100000000000001" customHeight="1">
      <c r="A70" s="473"/>
      <c r="B70" s="442"/>
      <c r="C70" s="92" t="s">
        <v>6</v>
      </c>
      <c r="D70" s="47"/>
      <c r="E70" s="18"/>
      <c r="F70" s="18">
        <v>56853</v>
      </c>
      <c r="G70" s="17">
        <f t="shared" si="2"/>
        <v>56853</v>
      </c>
    </row>
    <row r="71" spans="1:7" s="15" customFormat="1" ht="20.100000000000001" customHeight="1">
      <c r="A71" s="473"/>
      <c r="B71" s="442" t="s">
        <v>133</v>
      </c>
      <c r="C71" s="92" t="s">
        <v>5</v>
      </c>
      <c r="D71" s="104"/>
      <c r="E71" s="18"/>
      <c r="F71" s="18"/>
      <c r="G71" s="17">
        <f t="shared" si="2"/>
        <v>0</v>
      </c>
    </row>
    <row r="72" spans="1:7" s="15" customFormat="1" ht="20.100000000000001" customHeight="1">
      <c r="A72" s="473"/>
      <c r="B72" s="442"/>
      <c r="C72" s="92" t="s">
        <v>6</v>
      </c>
      <c r="D72" s="104">
        <f>D71*1.1</f>
        <v>0</v>
      </c>
      <c r="E72" s="18"/>
      <c r="F72" s="18"/>
      <c r="G72" s="17">
        <f t="shared" si="2"/>
        <v>0</v>
      </c>
    </row>
    <row r="73" spans="1:7" s="15" customFormat="1" ht="20.100000000000001" customHeight="1">
      <c r="A73" s="473"/>
      <c r="B73" s="442" t="s">
        <v>131</v>
      </c>
      <c r="C73" s="92" t="s">
        <v>5</v>
      </c>
      <c r="D73" s="47"/>
      <c r="E73" s="18"/>
      <c r="F73" s="18"/>
      <c r="G73" s="17">
        <f t="shared" si="2"/>
        <v>0</v>
      </c>
    </row>
    <row r="74" spans="1:7" s="15" customFormat="1" ht="20.100000000000001" customHeight="1">
      <c r="A74" s="473"/>
      <c r="B74" s="442"/>
      <c r="C74" s="92" t="s">
        <v>6</v>
      </c>
      <c r="D74" s="47"/>
      <c r="E74" s="18"/>
      <c r="F74" s="18"/>
      <c r="G74" s="17">
        <f t="shared" si="2"/>
        <v>0</v>
      </c>
    </row>
    <row r="75" spans="1:7" s="15" customFormat="1" ht="20.100000000000001" customHeight="1">
      <c r="A75" s="473"/>
      <c r="B75" s="442" t="s">
        <v>115</v>
      </c>
      <c r="C75" s="92" t="s">
        <v>5</v>
      </c>
      <c r="D75" s="47"/>
      <c r="E75" s="18"/>
      <c r="F75" s="18"/>
      <c r="G75" s="17">
        <f t="shared" si="2"/>
        <v>0</v>
      </c>
    </row>
    <row r="76" spans="1:7" s="15" customFormat="1" ht="20.100000000000001" customHeight="1">
      <c r="A76" s="473"/>
      <c r="B76" s="442"/>
      <c r="C76" s="92" t="s">
        <v>6</v>
      </c>
      <c r="D76" s="47"/>
      <c r="E76" s="18"/>
      <c r="F76" s="18"/>
      <c r="G76" s="17">
        <f t="shared" si="2"/>
        <v>0</v>
      </c>
    </row>
    <row r="77" spans="1:7" s="15" customFormat="1" ht="20.100000000000001" customHeight="1">
      <c r="A77" s="473"/>
      <c r="B77" s="442" t="s">
        <v>27</v>
      </c>
      <c r="C77" s="92" t="s">
        <v>5</v>
      </c>
      <c r="D77" s="104"/>
      <c r="E77" s="18"/>
      <c r="F77" s="18"/>
      <c r="G77" s="17">
        <f t="shared" si="2"/>
        <v>0</v>
      </c>
    </row>
    <row r="78" spans="1:7" s="15" customFormat="1" ht="20.100000000000001" customHeight="1">
      <c r="A78" s="473"/>
      <c r="B78" s="442"/>
      <c r="C78" s="92" t="s">
        <v>6</v>
      </c>
      <c r="D78" s="104"/>
      <c r="E78" s="18"/>
      <c r="F78" s="18"/>
      <c r="G78" s="17">
        <f t="shared" si="2"/>
        <v>0</v>
      </c>
    </row>
    <row r="79" spans="1:7" s="15" customFormat="1" ht="20.100000000000001" customHeight="1">
      <c r="A79" s="473"/>
      <c r="B79" s="442" t="s">
        <v>37</v>
      </c>
      <c r="C79" s="92" t="s">
        <v>5</v>
      </c>
      <c r="D79" s="47">
        <v>12800</v>
      </c>
      <c r="E79" s="18"/>
      <c r="F79" s="18"/>
      <c r="G79" s="17">
        <f t="shared" si="2"/>
        <v>12800</v>
      </c>
    </row>
    <row r="80" spans="1:7" s="15" customFormat="1" ht="20.100000000000001" customHeight="1">
      <c r="A80" s="473"/>
      <c r="B80" s="442"/>
      <c r="C80" s="92" t="s">
        <v>6</v>
      </c>
      <c r="D80" s="47">
        <f>(6400*1.08)+(6400*1.1)</f>
        <v>13952</v>
      </c>
      <c r="E80" s="47">
        <f>E79*1.1</f>
        <v>0</v>
      </c>
      <c r="F80" s="47">
        <f>F79*1.1</f>
        <v>0</v>
      </c>
      <c r="G80" s="17">
        <f t="shared" si="2"/>
        <v>13952</v>
      </c>
    </row>
    <row r="81" spans="1:11" s="15" customFormat="1" ht="20.100000000000001" customHeight="1">
      <c r="A81" s="473"/>
      <c r="B81" s="464" t="s">
        <v>230</v>
      </c>
      <c r="C81" s="92" t="s">
        <v>5</v>
      </c>
      <c r="D81" s="47">
        <v>0</v>
      </c>
      <c r="E81" s="47"/>
      <c r="F81" s="47"/>
      <c r="G81" s="17"/>
    </row>
    <row r="82" spans="1:11" s="15" customFormat="1" ht="20.100000000000001" customHeight="1">
      <c r="A82" s="473"/>
      <c r="B82" s="442"/>
      <c r="C82" s="92" t="s">
        <v>6</v>
      </c>
      <c r="D82" s="47"/>
      <c r="E82" s="47"/>
      <c r="F82" s="47"/>
      <c r="G82" s="17"/>
    </row>
    <row r="83" spans="1:11" s="15" customFormat="1" ht="20.100000000000001" customHeight="1">
      <c r="A83" s="473"/>
      <c r="B83" s="464" t="s">
        <v>231</v>
      </c>
      <c r="C83" s="92" t="s">
        <v>5</v>
      </c>
      <c r="D83" s="47"/>
      <c r="E83" s="47"/>
      <c r="F83" s="47"/>
      <c r="G83" s="17"/>
    </row>
    <row r="84" spans="1:11" s="15" customFormat="1" ht="20.100000000000001" customHeight="1">
      <c r="A84" s="473"/>
      <c r="B84" s="442"/>
      <c r="C84" s="92" t="s">
        <v>6</v>
      </c>
      <c r="D84" s="47"/>
      <c r="E84" s="47"/>
      <c r="F84" s="47"/>
      <c r="G84" s="17"/>
    </row>
    <row r="85" spans="1:11" s="15" customFormat="1" ht="20.100000000000001" customHeight="1">
      <c r="A85" s="473"/>
      <c r="B85" s="464" t="s">
        <v>232</v>
      </c>
      <c r="C85" s="92" t="s">
        <v>5</v>
      </c>
      <c r="D85" s="47"/>
      <c r="E85" s="47"/>
      <c r="F85" s="47"/>
      <c r="G85" s="17"/>
    </row>
    <row r="86" spans="1:11" s="15" customFormat="1" ht="20.100000000000001" customHeight="1">
      <c r="A86" s="473"/>
      <c r="B86" s="442"/>
      <c r="C86" s="92" t="s">
        <v>6</v>
      </c>
      <c r="D86" s="47"/>
      <c r="E86" s="47"/>
      <c r="F86" s="47"/>
      <c r="G86" s="17"/>
    </row>
    <row r="87" spans="1:11" s="15" customFormat="1" ht="20.100000000000001" customHeight="1">
      <c r="A87" s="473"/>
      <c r="B87" s="93" t="s">
        <v>28</v>
      </c>
      <c r="C87" s="99"/>
      <c r="D87" s="104">
        <v>13900</v>
      </c>
      <c r="E87" s="18"/>
      <c r="F87" s="18"/>
      <c r="G87" s="17">
        <f t="shared" ref="G87:G92" si="3">SUM(D87:F87)</f>
        <v>13900</v>
      </c>
    </row>
    <row r="88" spans="1:11" s="15" customFormat="1" ht="20.100000000000001" customHeight="1">
      <c r="A88" s="473"/>
      <c r="B88" s="443" t="s">
        <v>29</v>
      </c>
      <c r="C88" s="443"/>
      <c r="D88" s="57">
        <f>D3+D7+D9+D13+D15+D17+D19+D21+D23+D25+D27+D29+D31+D33+D35+D37+D39+D41+D43+D45+D47+D51+D53+D55+D57+D59+D61+D63+D65+D67+D69+D71+D73+D75+D77+D79+D87</f>
        <v>48900</v>
      </c>
      <c r="E88" s="57">
        <f>E3+E7+E9+E13+E15+E17+E19+E21+E23+E25+E27+E29+E31+E33+E35+E37+E39+E41+E43+E45+E47+E51+E53+E55+E57+E59+E61+E63+E65+E67+E69+E71+E73+E75+E77+E79+E87</f>
        <v>11460</v>
      </c>
      <c r="F88" s="57" t="e">
        <f>F3+F7+F9+F13+F15+F17+F19+F21+F23+F25+F27+F29+F31+F33+F35+F37+F39+F41+F43+F45+F47+F51+F53+F55+F57+F59+F61+F63+F65+F67+F69+F71+F73+F75+F77+F79+#REF!+#REF!+F87+#REF!</f>
        <v>#REF!</v>
      </c>
      <c r="G88" s="17" t="e">
        <f t="shared" si="3"/>
        <v>#REF!</v>
      </c>
      <c r="H88" s="23" t="e">
        <f>SUM(D88:F88)</f>
        <v>#REF!</v>
      </c>
      <c r="J88" s="43" t="e">
        <f>G88+I88</f>
        <v>#REF!</v>
      </c>
      <c r="K88" s="23" t="e">
        <f>#REF!+#REF!</f>
        <v>#REF!</v>
      </c>
    </row>
    <row r="89" spans="1:11" s="15" customFormat="1" ht="20.100000000000001" customHeight="1">
      <c r="A89" s="444" t="s">
        <v>30</v>
      </c>
      <c r="B89" s="123" t="s">
        <v>142</v>
      </c>
      <c r="C89" s="22" t="s">
        <v>5</v>
      </c>
      <c r="D89" s="20"/>
      <c r="E89" s="20"/>
      <c r="F89" s="20"/>
      <c r="G89" s="17">
        <f t="shared" si="3"/>
        <v>0</v>
      </c>
    </row>
    <row r="90" spans="1:11" s="15" customFormat="1" ht="20.100000000000001" customHeight="1">
      <c r="A90" s="445"/>
      <c r="B90" s="40" t="s">
        <v>31</v>
      </c>
      <c r="C90" s="22" t="s">
        <v>5</v>
      </c>
      <c r="D90" s="18"/>
      <c r="E90" s="18"/>
      <c r="F90" s="18"/>
      <c r="G90" s="17">
        <f t="shared" si="3"/>
        <v>0</v>
      </c>
    </row>
    <row r="91" spans="1:11" s="15" customFormat="1" ht="20.100000000000001" customHeight="1">
      <c r="A91" s="445"/>
      <c r="B91" s="39" t="s">
        <v>116</v>
      </c>
      <c r="C91" s="76" t="s">
        <v>5</v>
      </c>
      <c r="D91" s="48">
        <v>6707</v>
      </c>
      <c r="E91" s="48">
        <v>14230</v>
      </c>
      <c r="F91" s="48"/>
      <c r="G91" s="88">
        <f t="shared" si="3"/>
        <v>20937</v>
      </c>
    </row>
    <row r="92" spans="1:11" s="15" customFormat="1" ht="20.100000000000001" customHeight="1">
      <c r="A92" s="446"/>
      <c r="B92" s="84" t="s">
        <v>117</v>
      </c>
      <c r="C92" s="85" t="s">
        <v>5</v>
      </c>
      <c r="D92" s="78"/>
      <c r="E92" s="78"/>
      <c r="F92" s="120"/>
      <c r="G92" s="86">
        <f t="shared" si="3"/>
        <v>0</v>
      </c>
    </row>
    <row r="93" spans="1:11" s="15" customFormat="1" ht="20.100000000000001" customHeight="1">
      <c r="A93" s="446"/>
      <c r="B93" s="101" t="s">
        <v>118</v>
      </c>
      <c r="C93" s="85" t="s">
        <v>5</v>
      </c>
      <c r="D93" s="110"/>
      <c r="E93" s="87"/>
      <c r="F93" s="121"/>
      <c r="G93" s="87"/>
    </row>
    <row r="94" spans="1:11" s="15" customFormat="1" ht="20.100000000000001" customHeight="1">
      <c r="A94" s="446"/>
      <c r="B94" s="101" t="s">
        <v>119</v>
      </c>
      <c r="C94" s="85" t="s">
        <v>5</v>
      </c>
      <c r="D94" s="110"/>
      <c r="E94" s="87"/>
      <c r="F94" s="121"/>
      <c r="G94" s="87"/>
    </row>
    <row r="95" spans="1:11" s="15" customFormat="1" ht="20.100000000000001" customHeight="1">
      <c r="A95" s="445"/>
      <c r="B95" s="89" t="s">
        <v>120</v>
      </c>
      <c r="C95" s="77" t="s">
        <v>5</v>
      </c>
      <c r="D95" s="49"/>
      <c r="E95" s="49"/>
      <c r="F95" s="122"/>
      <c r="G95" s="90">
        <f t="shared" ref="G95:G109" si="4">SUM(D95:F95)</f>
        <v>0</v>
      </c>
    </row>
    <row r="96" spans="1:11" s="15" customFormat="1" ht="20.100000000000001" customHeight="1">
      <c r="A96" s="445"/>
      <c r="B96" s="38" t="s">
        <v>121</v>
      </c>
      <c r="C96" s="22" t="s">
        <v>5</v>
      </c>
      <c r="D96" s="18"/>
      <c r="E96" s="18"/>
      <c r="F96" s="46"/>
      <c r="G96" s="17">
        <f t="shared" si="4"/>
        <v>0</v>
      </c>
    </row>
    <row r="97" spans="1:7" s="15" customFormat="1" ht="20.100000000000001" customHeight="1">
      <c r="A97" s="445"/>
      <c r="B97" s="38" t="s">
        <v>122</v>
      </c>
      <c r="C97" s="22" t="s">
        <v>5</v>
      </c>
      <c r="D97" s="18"/>
      <c r="E97" s="18"/>
      <c r="F97" s="46"/>
      <c r="G97" s="17">
        <f t="shared" si="4"/>
        <v>0</v>
      </c>
    </row>
    <row r="98" spans="1:7" s="15" customFormat="1" ht="20.100000000000001" customHeight="1">
      <c r="A98" s="445"/>
      <c r="B98" s="38" t="s">
        <v>123</v>
      </c>
      <c r="C98" s="22" t="s">
        <v>5</v>
      </c>
      <c r="D98" s="18"/>
      <c r="E98" s="18"/>
      <c r="F98" s="46"/>
      <c r="G98" s="17">
        <f t="shared" si="4"/>
        <v>0</v>
      </c>
    </row>
    <row r="99" spans="1:7" s="15" customFormat="1" ht="20.100000000000001" customHeight="1">
      <c r="A99" s="445"/>
      <c r="B99" s="38" t="s">
        <v>124</v>
      </c>
      <c r="C99" s="22" t="s">
        <v>5</v>
      </c>
      <c r="D99" s="18"/>
      <c r="E99" s="18"/>
      <c r="F99" s="46"/>
      <c r="G99" s="17">
        <f t="shared" si="4"/>
        <v>0</v>
      </c>
    </row>
    <row r="100" spans="1:7" s="15" customFormat="1" ht="20.100000000000001" customHeight="1">
      <c r="A100" s="445"/>
      <c r="B100" s="38" t="s">
        <v>125</v>
      </c>
      <c r="C100" s="22" t="s">
        <v>5</v>
      </c>
      <c r="D100" s="18"/>
      <c r="E100" s="18"/>
      <c r="F100" s="46"/>
      <c r="G100" s="17">
        <f t="shared" si="4"/>
        <v>0</v>
      </c>
    </row>
    <row r="101" spans="1:7" s="15" customFormat="1" ht="20.100000000000001" customHeight="1">
      <c r="A101" s="445"/>
      <c r="B101" s="38" t="s">
        <v>91</v>
      </c>
      <c r="C101" s="22" t="s">
        <v>5</v>
      </c>
      <c r="D101" s="18"/>
      <c r="E101" s="18"/>
      <c r="F101" s="46"/>
      <c r="G101" s="17">
        <f t="shared" si="4"/>
        <v>0</v>
      </c>
    </row>
    <row r="102" spans="1:7" s="15" customFormat="1" ht="20.100000000000001" customHeight="1">
      <c r="A102" s="445"/>
      <c r="B102" s="38" t="s">
        <v>93</v>
      </c>
      <c r="C102" s="22" t="s">
        <v>5</v>
      </c>
      <c r="D102" s="18"/>
      <c r="E102" s="18"/>
      <c r="F102" s="46"/>
      <c r="G102" s="17">
        <f t="shared" si="4"/>
        <v>0</v>
      </c>
    </row>
    <row r="103" spans="1:7" s="15" customFormat="1" ht="20.100000000000001" customHeight="1">
      <c r="A103" s="445"/>
      <c r="B103" s="39" t="s">
        <v>96</v>
      </c>
      <c r="C103" s="22" t="s">
        <v>5</v>
      </c>
      <c r="D103" s="18"/>
      <c r="E103" s="18"/>
      <c r="F103" s="46"/>
      <c r="G103" s="17">
        <f t="shared" si="4"/>
        <v>0</v>
      </c>
    </row>
    <row r="104" spans="1:7" s="15" customFormat="1" ht="20.100000000000001" customHeight="1">
      <c r="A104" s="445"/>
      <c r="B104" s="39" t="s">
        <v>24</v>
      </c>
      <c r="C104" s="22" t="s">
        <v>5</v>
      </c>
      <c r="D104" s="18"/>
      <c r="E104" s="18"/>
      <c r="F104" s="46"/>
      <c r="G104" s="17">
        <f t="shared" si="4"/>
        <v>0</v>
      </c>
    </row>
    <row r="105" spans="1:7" s="15" customFormat="1" ht="20.100000000000001" customHeight="1">
      <c r="A105" s="445"/>
      <c r="B105" s="39" t="s">
        <v>99</v>
      </c>
      <c r="C105" s="22" t="s">
        <v>5</v>
      </c>
      <c r="D105" s="18"/>
      <c r="E105" s="18"/>
      <c r="F105" s="46"/>
      <c r="G105" s="17">
        <f t="shared" si="4"/>
        <v>0</v>
      </c>
    </row>
    <row r="106" spans="1:7" s="15" customFormat="1" ht="20.100000000000001" customHeight="1">
      <c r="A106" s="445"/>
      <c r="B106" s="39" t="s">
        <v>101</v>
      </c>
      <c r="C106" s="22" t="s">
        <v>5</v>
      </c>
      <c r="D106" s="18"/>
      <c r="E106" s="18"/>
      <c r="F106" s="46"/>
      <c r="G106" s="17">
        <f t="shared" si="4"/>
        <v>0</v>
      </c>
    </row>
    <row r="107" spans="1:7" s="15" customFormat="1" ht="20.100000000000001" customHeight="1">
      <c r="A107" s="445"/>
      <c r="B107" s="38" t="s">
        <v>103</v>
      </c>
      <c r="C107" s="22" t="s">
        <v>5</v>
      </c>
      <c r="D107" s="18"/>
      <c r="E107" s="18"/>
      <c r="F107" s="46"/>
      <c r="G107" s="17">
        <f t="shared" si="4"/>
        <v>0</v>
      </c>
    </row>
    <row r="108" spans="1:7" s="15" customFormat="1" ht="20.100000000000001" customHeight="1">
      <c r="A108" s="445"/>
      <c r="B108" s="39" t="s">
        <v>128</v>
      </c>
      <c r="C108" s="22" t="s">
        <v>5</v>
      </c>
      <c r="D108" s="18"/>
      <c r="E108" s="18"/>
      <c r="F108" s="46"/>
      <c r="G108" s="17">
        <f t="shared" si="4"/>
        <v>0</v>
      </c>
    </row>
    <row r="109" spans="1:7" s="15" customFormat="1" ht="20.100000000000001" customHeight="1">
      <c r="A109" s="445"/>
      <c r="B109" s="39" t="s">
        <v>105</v>
      </c>
      <c r="C109" s="22" t="s">
        <v>5</v>
      </c>
      <c r="D109" s="18"/>
      <c r="E109" s="18"/>
      <c r="F109" s="46"/>
      <c r="G109" s="17">
        <f t="shared" si="4"/>
        <v>0</v>
      </c>
    </row>
    <row r="110" spans="1:7" s="15" customFormat="1" ht="20.100000000000001" customHeight="1">
      <c r="A110" s="445"/>
      <c r="B110" s="219" t="s">
        <v>229</v>
      </c>
      <c r="C110" s="22"/>
      <c r="D110" s="18"/>
      <c r="E110" s="18"/>
      <c r="F110" s="46"/>
      <c r="G110" s="17"/>
    </row>
    <row r="111" spans="1:7" s="15" customFormat="1" ht="20.100000000000001" customHeight="1">
      <c r="A111" s="445"/>
      <c r="B111" s="39" t="s">
        <v>106</v>
      </c>
      <c r="C111" s="22" t="s">
        <v>5</v>
      </c>
      <c r="D111" s="18"/>
      <c r="E111" s="18"/>
      <c r="F111" s="46"/>
      <c r="G111" s="17">
        <f t="shared" ref="G111:G125" si="5">SUM(D111:F111)</f>
        <v>0</v>
      </c>
    </row>
    <row r="112" spans="1:7" s="15" customFormat="1" ht="20.100000000000001" customHeight="1">
      <c r="A112" s="445"/>
      <c r="B112" s="39" t="s">
        <v>107</v>
      </c>
      <c r="C112" s="22" t="s">
        <v>5</v>
      </c>
      <c r="D112" s="18"/>
      <c r="E112" s="18"/>
      <c r="F112" s="46"/>
      <c r="G112" s="17">
        <f t="shared" si="5"/>
        <v>0</v>
      </c>
    </row>
    <row r="113" spans="1:7" s="15" customFormat="1" ht="20.100000000000001" customHeight="1">
      <c r="A113" s="445"/>
      <c r="B113" s="39" t="s">
        <v>108</v>
      </c>
      <c r="C113" s="22" t="s">
        <v>5</v>
      </c>
      <c r="D113" s="18"/>
      <c r="E113" s="18"/>
      <c r="F113" s="46"/>
      <c r="G113" s="17">
        <f t="shared" si="5"/>
        <v>0</v>
      </c>
    </row>
    <row r="114" spans="1:7" s="15" customFormat="1" ht="20.100000000000001" customHeight="1">
      <c r="A114" s="445"/>
      <c r="B114" s="39" t="s">
        <v>109</v>
      </c>
      <c r="C114" s="22" t="s">
        <v>5</v>
      </c>
      <c r="D114" s="18">
        <v>1464</v>
      </c>
      <c r="E114" s="18"/>
      <c r="F114" s="46"/>
      <c r="G114" s="17">
        <f t="shared" si="5"/>
        <v>1464</v>
      </c>
    </row>
    <row r="115" spans="1:7" s="15" customFormat="1" ht="20.100000000000001" customHeight="1">
      <c r="A115" s="445"/>
      <c r="B115" s="39" t="s">
        <v>110</v>
      </c>
      <c r="C115" s="22" t="s">
        <v>5</v>
      </c>
      <c r="D115" s="18"/>
      <c r="E115" s="18"/>
      <c r="F115" s="46"/>
      <c r="G115" s="17">
        <f t="shared" si="5"/>
        <v>0</v>
      </c>
    </row>
    <row r="116" spans="1:7" s="15" customFormat="1" ht="20.100000000000001" customHeight="1">
      <c r="A116" s="445"/>
      <c r="B116" s="39" t="s">
        <v>111</v>
      </c>
      <c r="C116" s="22" t="s">
        <v>5</v>
      </c>
      <c r="D116" s="18"/>
      <c r="E116" s="18"/>
      <c r="F116" s="46"/>
      <c r="G116" s="17">
        <f t="shared" si="5"/>
        <v>0</v>
      </c>
    </row>
    <row r="117" spans="1:7" s="15" customFormat="1" ht="20.100000000000001" customHeight="1">
      <c r="A117" s="445"/>
      <c r="B117" s="39" t="s">
        <v>112</v>
      </c>
      <c r="C117" s="22" t="s">
        <v>5</v>
      </c>
      <c r="D117" s="18"/>
      <c r="E117" s="18"/>
      <c r="F117" s="46"/>
      <c r="G117" s="17">
        <f t="shared" si="5"/>
        <v>0</v>
      </c>
    </row>
    <row r="118" spans="1:7" s="15" customFormat="1" ht="20.100000000000001" customHeight="1">
      <c r="A118" s="445"/>
      <c r="B118" s="39" t="s">
        <v>113</v>
      </c>
      <c r="C118" s="22" t="s">
        <v>5</v>
      </c>
      <c r="D118" s="18"/>
      <c r="E118" s="18"/>
      <c r="F118" s="46"/>
      <c r="G118" s="17">
        <f t="shared" si="5"/>
        <v>0</v>
      </c>
    </row>
    <row r="119" spans="1:7" s="15" customFormat="1" ht="20.100000000000001" customHeight="1">
      <c r="A119" s="445"/>
      <c r="B119" s="39" t="s">
        <v>26</v>
      </c>
      <c r="C119" s="22" t="s">
        <v>5</v>
      </c>
      <c r="D119" s="18"/>
      <c r="E119" s="18"/>
      <c r="F119" s="46"/>
      <c r="G119" s="17">
        <f t="shared" si="5"/>
        <v>0</v>
      </c>
    </row>
    <row r="120" spans="1:7" s="15" customFormat="1" ht="20.100000000000001" customHeight="1">
      <c r="A120" s="445"/>
      <c r="B120" s="39" t="s">
        <v>114</v>
      </c>
      <c r="C120" s="22" t="s">
        <v>5</v>
      </c>
      <c r="D120" s="18">
        <v>1307</v>
      </c>
      <c r="E120" s="18"/>
      <c r="F120" s="46"/>
      <c r="G120" s="17">
        <f t="shared" si="5"/>
        <v>1307</v>
      </c>
    </row>
    <row r="121" spans="1:7" s="15" customFormat="1" ht="20.100000000000001" customHeight="1">
      <c r="A121" s="445"/>
      <c r="B121" s="39" t="s">
        <v>133</v>
      </c>
      <c r="C121" s="22" t="s">
        <v>5</v>
      </c>
      <c r="D121" s="18"/>
      <c r="E121" s="18"/>
      <c r="F121" s="46"/>
      <c r="G121" s="17">
        <f t="shared" si="5"/>
        <v>0</v>
      </c>
    </row>
    <row r="122" spans="1:7" s="15" customFormat="1" ht="19.5" customHeight="1">
      <c r="A122" s="445"/>
      <c r="B122" s="39" t="s">
        <v>131</v>
      </c>
      <c r="C122" s="22" t="s">
        <v>5</v>
      </c>
      <c r="D122" s="18"/>
      <c r="E122" s="18"/>
      <c r="F122" s="46"/>
      <c r="G122" s="17">
        <f t="shared" si="5"/>
        <v>0</v>
      </c>
    </row>
    <row r="123" spans="1:7" s="15" customFormat="1" ht="20.100000000000001" customHeight="1">
      <c r="A123" s="445"/>
      <c r="B123" s="39" t="s">
        <v>115</v>
      </c>
      <c r="C123" s="22" t="s">
        <v>5</v>
      </c>
      <c r="D123" s="18"/>
      <c r="E123" s="18"/>
      <c r="F123" s="46"/>
      <c r="G123" s="17">
        <f t="shared" si="5"/>
        <v>0</v>
      </c>
    </row>
    <row r="124" spans="1:7" s="15" customFormat="1" ht="20.100000000000001" customHeight="1">
      <c r="A124" s="445"/>
      <c r="B124" s="39" t="s">
        <v>27</v>
      </c>
      <c r="C124" s="22" t="s">
        <v>5</v>
      </c>
      <c r="D124" s="18"/>
      <c r="E124" s="18"/>
      <c r="F124" s="46"/>
      <c r="G124" s="17">
        <f t="shared" si="5"/>
        <v>0</v>
      </c>
    </row>
    <row r="125" spans="1:7" s="15" customFormat="1" ht="19.5" customHeight="1">
      <c r="A125" s="445"/>
      <c r="B125" s="39" t="s">
        <v>37</v>
      </c>
      <c r="C125" s="22" t="s">
        <v>5</v>
      </c>
      <c r="D125" s="18"/>
      <c r="E125" s="18"/>
      <c r="F125" s="46"/>
      <c r="G125" s="17">
        <f t="shared" si="5"/>
        <v>0</v>
      </c>
    </row>
    <row r="126" spans="1:7" s="15" customFormat="1" ht="20.100000000000001" customHeight="1">
      <c r="A126" s="445"/>
      <c r="B126" s="219" t="s">
        <v>230</v>
      </c>
      <c r="C126" s="22"/>
      <c r="D126" s="18">
        <v>1061</v>
      </c>
      <c r="E126" s="18"/>
      <c r="F126" s="46"/>
      <c r="G126" s="17"/>
    </row>
    <row r="127" spans="1:7" s="15" customFormat="1" ht="20.100000000000001" customHeight="1">
      <c r="A127" s="445"/>
      <c r="B127" s="219" t="s">
        <v>231</v>
      </c>
      <c r="C127" s="22"/>
      <c r="D127" s="18"/>
      <c r="E127" s="18"/>
      <c r="F127" s="46"/>
      <c r="G127" s="17"/>
    </row>
    <row r="128" spans="1:7" s="15" customFormat="1" ht="20.100000000000001" customHeight="1">
      <c r="A128" s="445"/>
      <c r="B128" s="219" t="s">
        <v>233</v>
      </c>
      <c r="C128" s="22"/>
      <c r="D128" s="18"/>
      <c r="E128" s="18"/>
      <c r="F128" s="46"/>
      <c r="G128" s="17"/>
    </row>
    <row r="129" spans="1:10" s="15" customFormat="1" ht="20.100000000000001" customHeight="1">
      <c r="A129" s="445"/>
      <c r="B129" s="124" t="s">
        <v>143</v>
      </c>
      <c r="C129" s="22"/>
      <c r="D129" s="18"/>
      <c r="E129" s="18"/>
      <c r="F129" s="46"/>
      <c r="G129" s="17"/>
    </row>
    <row r="130" spans="1:10" s="15" customFormat="1" ht="20.100000000000001" customHeight="1">
      <c r="A130" s="445"/>
      <c r="B130" s="39" t="s">
        <v>95</v>
      </c>
      <c r="C130" s="22" t="s">
        <v>5</v>
      </c>
      <c r="D130" s="18"/>
      <c r="E130" s="18"/>
      <c r="F130" s="46"/>
      <c r="G130" s="17">
        <f>SUM(D130:F130)</f>
        <v>0</v>
      </c>
    </row>
    <row r="131" spans="1:10" s="15" customFormat="1" ht="20.100000000000001" customHeight="1">
      <c r="A131" s="445"/>
      <c r="B131" s="100" t="s">
        <v>38</v>
      </c>
      <c r="C131" s="22" t="s">
        <v>5</v>
      </c>
      <c r="D131" s="20"/>
      <c r="E131" s="20"/>
      <c r="F131" s="20"/>
      <c r="G131" s="17">
        <f>SUM(D131:F131)</f>
        <v>0</v>
      </c>
      <c r="H131" s="23"/>
    </row>
    <row r="132" spans="1:10" s="15" customFormat="1" ht="20.100000000000001" customHeight="1">
      <c r="A132" s="445"/>
      <c r="B132" s="41" t="s">
        <v>126</v>
      </c>
      <c r="C132" s="42"/>
      <c r="D132" s="21">
        <v>13900</v>
      </c>
      <c r="E132" s="21">
        <v>7290</v>
      </c>
      <c r="F132" s="21">
        <f>F89+F91+F90+F96+F95+F98+F97+F99+F92+F101+F125+F107+F100+F102+F113+F104+F112+F106+F108+F130+F111+F109+F105+F114+F116+F118+F115+F117+F119+F120+F121+F122+F123+F124</f>
        <v>0</v>
      </c>
      <c r="G132" s="17">
        <f>SUM(D132:F132)</f>
        <v>21190</v>
      </c>
      <c r="H132" s="23" t="e">
        <f>#REF!-#REF!</f>
        <v>#REF!</v>
      </c>
      <c r="I132" s="43" t="e">
        <f>G133+H132</f>
        <v>#REF!</v>
      </c>
      <c r="J132" s="23"/>
    </row>
    <row r="133" spans="1:10" s="15" customFormat="1" ht="20.100000000000001" customHeight="1">
      <c r="A133" s="480" t="s">
        <v>39</v>
      </c>
      <c r="B133" s="481"/>
      <c r="C133" s="481"/>
      <c r="D133" s="21">
        <f>SUM(D89:D132)</f>
        <v>24439</v>
      </c>
      <c r="E133" s="21">
        <f>SUM(E89:E132)</f>
        <v>21520</v>
      </c>
      <c r="F133" s="21">
        <f>F131+F132</f>
        <v>0</v>
      </c>
      <c r="G133" s="17">
        <f>SUM(D133:F133)</f>
        <v>45959</v>
      </c>
      <c r="H133" s="221" t="e">
        <f>H132/#REF!</f>
        <v>#REF!</v>
      </c>
      <c r="I133" s="43" t="e">
        <f>I132-J88</f>
        <v>#REF!</v>
      </c>
    </row>
    <row r="134" spans="1:10" s="15" customFormat="1" ht="20.100000000000001" customHeight="1">
      <c r="A134" s="482" t="s">
        <v>40</v>
      </c>
      <c r="B134" s="483"/>
      <c r="C134" s="483"/>
      <c r="D134" s="21">
        <f>D133-D88</f>
        <v>-24461</v>
      </c>
      <c r="E134" s="21">
        <f>E133-E88</f>
        <v>10060</v>
      </c>
      <c r="F134" s="21" t="e">
        <f>F133-F88</f>
        <v>#REF!</v>
      </c>
      <c r="G134" s="17" t="e">
        <f>SUM(D134:F134)</f>
        <v>#REF!</v>
      </c>
    </row>
    <row r="135" spans="1:10" s="15" customFormat="1" ht="20.100000000000001" customHeight="1">
      <c r="A135" s="484"/>
      <c r="B135" s="485"/>
      <c r="C135" s="485"/>
      <c r="D135" s="25">
        <f>D134/D133</f>
        <v>-1.000900200499202</v>
      </c>
      <c r="E135" s="25">
        <f>E134/E133</f>
        <v>0.46747211895910779</v>
      </c>
      <c r="F135" s="25" t="e">
        <f>F134/F133</f>
        <v>#REF!</v>
      </c>
      <c r="G135" s="26" t="e">
        <f>G134/G133</f>
        <v>#REF!</v>
      </c>
    </row>
    <row r="136" spans="1:10" s="15" customFormat="1" ht="20.100000000000001" customHeight="1">
      <c r="A136" s="486" t="s">
        <v>41</v>
      </c>
      <c r="B136" s="515" t="s">
        <v>42</v>
      </c>
      <c r="C136" s="516"/>
      <c r="D136" s="21">
        <f>(D5-D3)+(D11-D9)</f>
        <v>736.84210526315837</v>
      </c>
      <c r="E136" s="21">
        <f>(E5-E3)+(E11-E9)</f>
        <v>0</v>
      </c>
      <c r="F136" s="21">
        <f>(F5-F3)+(F11-F9)</f>
        <v>0</v>
      </c>
      <c r="G136" s="21">
        <f>SUM(D136:F136)</f>
        <v>736.84210526315837</v>
      </c>
    </row>
    <row r="137" spans="1:10" s="15" customFormat="1" ht="20.100000000000001" customHeight="1">
      <c r="A137" s="486"/>
      <c r="B137" s="515" t="s">
        <v>43</v>
      </c>
      <c r="C137" s="516"/>
      <c r="D137" s="25">
        <f>D136/(D11+D5)</f>
        <v>5.0000000000000031E-2</v>
      </c>
      <c r="E137" s="25">
        <f>E136/(E11+E5)</f>
        <v>0</v>
      </c>
      <c r="F137" s="25" t="e">
        <f>F136/(F11+F5)</f>
        <v>#DIV/0!</v>
      </c>
      <c r="G137" s="24">
        <f>G136/(G11+G5)</f>
        <v>2.8127134648611742E-2</v>
      </c>
    </row>
    <row r="138" spans="1:10" s="15" customFormat="1" ht="20.100000000000001" customHeight="1">
      <c r="A138" s="479" t="s">
        <v>44</v>
      </c>
      <c r="B138" s="432" t="s">
        <v>45</v>
      </c>
      <c r="C138" s="433"/>
      <c r="D138" s="18">
        <f>D89-D5</f>
        <v>0</v>
      </c>
      <c r="E138" s="18">
        <f>E89-E5</f>
        <v>0</v>
      </c>
      <c r="F138" s="18">
        <f>F89-F5</f>
        <v>0</v>
      </c>
      <c r="G138" s="21">
        <f>SUM(D138:F138)</f>
        <v>0</v>
      </c>
    </row>
    <row r="139" spans="1:10" s="15" customFormat="1" ht="20.100000000000001" customHeight="1">
      <c r="A139" s="460"/>
      <c r="B139" s="432"/>
      <c r="C139" s="433"/>
      <c r="D139" s="25" t="e">
        <f>D138/D89</f>
        <v>#DIV/0!</v>
      </c>
      <c r="E139" s="25" t="e">
        <f>E138/E89</f>
        <v>#DIV/0!</v>
      </c>
      <c r="F139" s="25" t="e">
        <f>F138/F89</f>
        <v>#DIV/0!</v>
      </c>
      <c r="G139" s="26" t="e">
        <f>G138/G89</f>
        <v>#DIV/0!</v>
      </c>
    </row>
    <row r="140" spans="1:10" s="15" customFormat="1" ht="20.100000000000001" customHeight="1">
      <c r="A140" s="460"/>
      <c r="B140" s="432" t="s">
        <v>46</v>
      </c>
      <c r="C140" s="433"/>
      <c r="D140" s="30">
        <f>D90-D7</f>
        <v>0</v>
      </c>
      <c r="E140" s="30">
        <f>E90-E7</f>
        <v>0</v>
      </c>
      <c r="F140" s="30">
        <f>F90-F7</f>
        <v>0</v>
      </c>
      <c r="G140" s="21">
        <f>SUM(D140:F140)</f>
        <v>0</v>
      </c>
    </row>
    <row r="141" spans="1:10" s="15" customFormat="1" ht="20.100000000000001" customHeight="1">
      <c r="A141" s="460"/>
      <c r="B141" s="432"/>
      <c r="C141" s="433"/>
      <c r="D141" s="25" t="e">
        <f>D140/D90</f>
        <v>#DIV/0!</v>
      </c>
      <c r="E141" s="25" t="e">
        <f>E140/E90</f>
        <v>#DIV/0!</v>
      </c>
      <c r="F141" s="25" t="e">
        <f>F140/F90</f>
        <v>#DIV/0!</v>
      </c>
      <c r="G141" s="24" t="e">
        <f>G140/G90</f>
        <v>#DIV/0!</v>
      </c>
    </row>
    <row r="142" spans="1:10" s="15" customFormat="1" ht="20.100000000000001" customHeight="1">
      <c r="A142" s="460"/>
      <c r="B142" s="432" t="s">
        <v>47</v>
      </c>
      <c r="C142" s="433"/>
      <c r="D142" s="21">
        <f>D91-D11</f>
        <v>-8029.8421052631584</v>
      </c>
      <c r="E142" s="21">
        <f>E91-E11</f>
        <v>2770</v>
      </c>
      <c r="F142" s="21">
        <f>F91-F11</f>
        <v>0</v>
      </c>
      <c r="G142" s="21">
        <f>SUM(D142:F142)</f>
        <v>-5259.8421052631584</v>
      </c>
    </row>
    <row r="143" spans="1:10" s="15" customFormat="1" ht="20.100000000000001" customHeight="1">
      <c r="A143" s="460"/>
      <c r="B143" s="432"/>
      <c r="C143" s="433"/>
      <c r="D143" s="25">
        <f>D142/D91</f>
        <v>-1.1972330558018724</v>
      </c>
      <c r="E143" s="25">
        <f>E142/E91</f>
        <v>0.19465917076598735</v>
      </c>
      <c r="F143" s="25" t="e">
        <f>F142/F91</f>
        <v>#DIV/0!</v>
      </c>
      <c r="G143" s="24">
        <f>G142/G91</f>
        <v>-0.25122233869528388</v>
      </c>
    </row>
    <row r="144" spans="1:10" s="15" customFormat="1" ht="20.100000000000001" customHeight="1">
      <c r="A144" s="460"/>
      <c r="B144" s="432" t="s">
        <v>48</v>
      </c>
      <c r="C144" s="433"/>
      <c r="D144" s="29">
        <f>D92-D13</f>
        <v>0</v>
      </c>
      <c r="E144" s="29">
        <f>E92-E13</f>
        <v>0</v>
      </c>
      <c r="F144" s="29">
        <f>F92-F13</f>
        <v>0</v>
      </c>
      <c r="G144" s="27">
        <f>SUM(D144:F144)</f>
        <v>0</v>
      </c>
    </row>
    <row r="145" spans="1:7" s="15" customFormat="1" ht="20.100000000000001" customHeight="1">
      <c r="A145" s="460"/>
      <c r="B145" s="432"/>
      <c r="C145" s="433"/>
      <c r="D145" s="25" t="e">
        <f>D144/D92</f>
        <v>#DIV/0!</v>
      </c>
      <c r="E145" s="25" t="e">
        <f>E144/E92</f>
        <v>#DIV/0!</v>
      </c>
      <c r="F145" s="25" t="e">
        <f>F144/F92</f>
        <v>#DIV/0!</v>
      </c>
      <c r="G145" s="24" t="e">
        <f>G144/G92</f>
        <v>#DIV/0!</v>
      </c>
    </row>
    <row r="146" spans="1:7" s="15" customFormat="1" ht="20.100000000000001" customHeight="1">
      <c r="A146" s="460"/>
      <c r="B146" s="438" t="s">
        <v>12</v>
      </c>
      <c r="C146" s="439"/>
      <c r="D146" s="113">
        <f>D93-D15</f>
        <v>0</v>
      </c>
      <c r="E146" s="113">
        <f>E93-E15</f>
        <v>0</v>
      </c>
      <c r="F146" s="32">
        <f>F95-F15</f>
        <v>0</v>
      </c>
      <c r="G146" s="21">
        <f>SUM(D146:F146)</f>
        <v>0</v>
      </c>
    </row>
    <row r="147" spans="1:7" s="15" customFormat="1" ht="20.100000000000001" customHeight="1">
      <c r="A147" s="460"/>
      <c r="B147" s="438"/>
      <c r="C147" s="439"/>
      <c r="D147" s="114" t="e">
        <f>D146/D93</f>
        <v>#DIV/0!</v>
      </c>
      <c r="E147" s="114" t="e">
        <f>E146/E93</f>
        <v>#DIV/0!</v>
      </c>
      <c r="F147" s="31" t="e">
        <f>F146/F95</f>
        <v>#DIV/0!</v>
      </c>
      <c r="G147" s="24" t="e">
        <f>G146/G95</f>
        <v>#DIV/0!</v>
      </c>
    </row>
    <row r="148" spans="1:7" s="15" customFormat="1" ht="20.100000000000001" customHeight="1">
      <c r="A148" s="460"/>
      <c r="B148" s="438" t="s">
        <v>49</v>
      </c>
      <c r="C148" s="439"/>
      <c r="D148" s="74">
        <f>D94-D17</f>
        <v>0</v>
      </c>
      <c r="E148" s="74">
        <f>E94-E17</f>
        <v>0</v>
      </c>
      <c r="F148" s="20">
        <f>F96-F17</f>
        <v>0</v>
      </c>
      <c r="G148" s="21">
        <f>SUM(D148:F148)</f>
        <v>0</v>
      </c>
    </row>
    <row r="149" spans="1:7" s="15" customFormat="1" ht="20.100000000000001" customHeight="1">
      <c r="A149" s="460"/>
      <c r="B149" s="438"/>
      <c r="C149" s="439"/>
      <c r="D149" s="114" t="e">
        <f>D148/D94</f>
        <v>#DIV/0!</v>
      </c>
      <c r="E149" s="114" t="e">
        <f>E148/E94</f>
        <v>#DIV/0!</v>
      </c>
      <c r="F149" s="31" t="e">
        <f>F148/F96</f>
        <v>#DIV/0!</v>
      </c>
      <c r="G149" s="24" t="e">
        <f>G148/G96</f>
        <v>#DIV/0!</v>
      </c>
    </row>
    <row r="150" spans="1:7" s="15" customFormat="1" ht="20.100000000000001" customHeight="1">
      <c r="A150" s="460"/>
      <c r="B150" s="438" t="s">
        <v>32</v>
      </c>
      <c r="C150" s="439"/>
      <c r="D150" s="75">
        <f>D95-D19</f>
        <v>0</v>
      </c>
      <c r="E150" s="75">
        <f>E95-E19</f>
        <v>0</v>
      </c>
      <c r="F150" s="21">
        <f>F97-F19</f>
        <v>0</v>
      </c>
      <c r="G150" s="21">
        <f>SUM(D150:F150)</f>
        <v>0</v>
      </c>
    </row>
    <row r="151" spans="1:7" s="15" customFormat="1" ht="20.100000000000001" customHeight="1">
      <c r="A151" s="460"/>
      <c r="B151" s="438"/>
      <c r="C151" s="439"/>
      <c r="D151" s="115" t="e">
        <f>D150/D95</f>
        <v>#DIV/0!</v>
      </c>
      <c r="E151" s="115" t="e">
        <f>E150/E95</f>
        <v>#DIV/0!</v>
      </c>
      <c r="F151" s="25" t="e">
        <f>F150/F97</f>
        <v>#DIV/0!</v>
      </c>
      <c r="G151" s="24" t="e">
        <f>G150/G97</f>
        <v>#DIV/0!</v>
      </c>
    </row>
    <row r="152" spans="1:7" s="15" customFormat="1" ht="20.100000000000001" customHeight="1">
      <c r="A152" s="460"/>
      <c r="B152" s="418" t="s">
        <v>15</v>
      </c>
      <c r="C152" s="440"/>
      <c r="D152" s="113">
        <f>D96-D21</f>
        <v>0</v>
      </c>
      <c r="E152" s="113">
        <f>E96-E21</f>
        <v>0</v>
      </c>
      <c r="F152" s="32">
        <f>F98-F21</f>
        <v>0</v>
      </c>
      <c r="G152" s="21">
        <f>SUM(D152:F152)</f>
        <v>0</v>
      </c>
    </row>
    <row r="153" spans="1:7" s="15" customFormat="1" ht="20.100000000000001" customHeight="1">
      <c r="A153" s="460"/>
      <c r="B153" s="420"/>
      <c r="C153" s="441"/>
      <c r="D153" s="114" t="e">
        <f>D152/D96</f>
        <v>#DIV/0!</v>
      </c>
      <c r="E153" s="114" t="e">
        <f>E152/E96</f>
        <v>#DIV/0!</v>
      </c>
      <c r="F153" s="31" t="e">
        <f>F152/F98</f>
        <v>#DIV/0!</v>
      </c>
      <c r="G153" s="24" t="e">
        <f>G152/G98</f>
        <v>#DIV/0!</v>
      </c>
    </row>
    <row r="154" spans="1:7" s="15" customFormat="1" ht="20.100000000000001" customHeight="1">
      <c r="A154" s="460"/>
      <c r="B154" s="418" t="s">
        <v>50</v>
      </c>
      <c r="C154" s="440"/>
      <c r="D154" s="113">
        <f>D97-D23</f>
        <v>0</v>
      </c>
      <c r="E154" s="113">
        <f>E97-E23</f>
        <v>0</v>
      </c>
      <c r="F154" s="32">
        <f>F99-F23</f>
        <v>0</v>
      </c>
      <c r="G154" s="21">
        <f>SUM(D154:F154)</f>
        <v>0</v>
      </c>
    </row>
    <row r="155" spans="1:7" s="15" customFormat="1" ht="20.100000000000001" customHeight="1">
      <c r="A155" s="460"/>
      <c r="B155" s="420"/>
      <c r="C155" s="441"/>
      <c r="D155" s="114" t="e">
        <f>D154/D97</f>
        <v>#DIV/0!</v>
      </c>
      <c r="E155" s="114" t="e">
        <f>E154/E97</f>
        <v>#DIV/0!</v>
      </c>
      <c r="F155" s="31" t="e">
        <f>F154/F99</f>
        <v>#DIV/0!</v>
      </c>
      <c r="G155" s="24" t="e">
        <f>G154/G99</f>
        <v>#DIV/0!</v>
      </c>
    </row>
    <row r="156" spans="1:7" s="15" customFormat="1" ht="20.100000000000001" customHeight="1">
      <c r="A156" s="460"/>
      <c r="B156" s="416" t="s">
        <v>51</v>
      </c>
      <c r="C156" s="116"/>
      <c r="D156" s="113">
        <f>D98-D25</f>
        <v>0</v>
      </c>
      <c r="E156" s="113">
        <f>E98-E25</f>
        <v>0</v>
      </c>
      <c r="F156" s="32">
        <f>F100-F25</f>
        <v>0</v>
      </c>
      <c r="G156" s="28">
        <f>SUM(D156:F156)</f>
        <v>0</v>
      </c>
    </row>
    <row r="157" spans="1:7" s="15" customFormat="1" ht="20.100000000000001" customHeight="1">
      <c r="A157" s="460"/>
      <c r="B157" s="417"/>
      <c r="C157" s="116"/>
      <c r="D157" s="114" t="e">
        <f>D156/D98</f>
        <v>#DIV/0!</v>
      </c>
      <c r="E157" s="114" t="e">
        <f>E156/E98</f>
        <v>#DIV/0!</v>
      </c>
      <c r="F157" s="31" t="e">
        <f>F156/F100</f>
        <v>#DIV/0!</v>
      </c>
      <c r="G157" s="24" t="e">
        <f>G156/G100</f>
        <v>#DIV/0!</v>
      </c>
    </row>
    <row r="158" spans="1:7" s="15" customFormat="1" ht="20.100000000000001" customHeight="1">
      <c r="A158" s="460"/>
      <c r="B158" s="418" t="s">
        <v>52</v>
      </c>
      <c r="C158" s="440"/>
      <c r="D158" s="113">
        <f>D99-D27</f>
        <v>0</v>
      </c>
      <c r="E158" s="113">
        <f>E99-E27</f>
        <v>0</v>
      </c>
      <c r="F158" s="32">
        <f>F101-F27</f>
        <v>0</v>
      </c>
      <c r="G158" s="21">
        <f>SUM(D158:F158)</f>
        <v>0</v>
      </c>
    </row>
    <row r="159" spans="1:7" s="15" customFormat="1" ht="20.100000000000001" customHeight="1">
      <c r="A159" s="460"/>
      <c r="B159" s="420"/>
      <c r="C159" s="441"/>
      <c r="D159" s="114" t="e">
        <f>D158/D99</f>
        <v>#DIV/0!</v>
      </c>
      <c r="E159" s="114" t="e">
        <f>E158/E99</f>
        <v>#DIV/0!</v>
      </c>
      <c r="F159" s="31" t="e">
        <f>F158/F101</f>
        <v>#DIV/0!</v>
      </c>
      <c r="G159" s="24" t="e">
        <f>G158/G101</f>
        <v>#DIV/0!</v>
      </c>
    </row>
    <row r="160" spans="1:7" s="15" customFormat="1" ht="20.100000000000001" customHeight="1">
      <c r="A160" s="460"/>
      <c r="B160" s="416" t="s">
        <v>33</v>
      </c>
      <c r="C160" s="436"/>
      <c r="D160" s="113">
        <f>D100-D29</f>
        <v>0</v>
      </c>
      <c r="E160" s="113">
        <f>E100-E29</f>
        <v>0</v>
      </c>
      <c r="F160" s="32">
        <f>F102-F29</f>
        <v>0</v>
      </c>
      <c r="G160" s="27">
        <f>SUM(D160:F160)</f>
        <v>0</v>
      </c>
    </row>
    <row r="161" spans="1:7" s="15" customFormat="1" ht="20.100000000000001" customHeight="1">
      <c r="A161" s="460"/>
      <c r="B161" s="417"/>
      <c r="C161" s="437"/>
      <c r="D161" s="114" t="e">
        <f>D160/D100</f>
        <v>#DIV/0!</v>
      </c>
      <c r="E161" s="114" t="e">
        <f>E160/E100</f>
        <v>#DIV/0!</v>
      </c>
      <c r="F161" s="31" t="e">
        <f>F160/F102</f>
        <v>#DIV/0!</v>
      </c>
      <c r="G161" s="24" t="e">
        <f>G160/G102</f>
        <v>#DIV/0!</v>
      </c>
    </row>
    <row r="162" spans="1:7" s="15" customFormat="1" ht="20.100000000000001" customHeight="1">
      <c r="A162" s="460"/>
      <c r="B162" s="416" t="s">
        <v>21</v>
      </c>
      <c r="C162" s="116"/>
      <c r="D162" s="113">
        <f>D102-D33</f>
        <v>0</v>
      </c>
      <c r="E162" s="113">
        <f>E102-E33</f>
        <v>0</v>
      </c>
      <c r="F162" s="32">
        <f>F103-F37</f>
        <v>0</v>
      </c>
      <c r="G162" s="54">
        <f>SUM(D162:F162)</f>
        <v>0</v>
      </c>
    </row>
    <row r="163" spans="1:7" s="15" customFormat="1" ht="20.100000000000001" customHeight="1">
      <c r="A163" s="460"/>
      <c r="B163" s="417"/>
      <c r="C163" s="116"/>
      <c r="D163" s="114" t="e">
        <f>D162/D102</f>
        <v>#DIV/0!</v>
      </c>
      <c r="E163" s="114" t="e">
        <f>E162/E102</f>
        <v>#DIV/0!</v>
      </c>
      <c r="F163" s="31" t="e">
        <f>F162/F103</f>
        <v>#DIV/0!</v>
      </c>
      <c r="G163" s="24" t="e">
        <f>G162/G103</f>
        <v>#DIV/0!</v>
      </c>
    </row>
    <row r="164" spans="1:7" s="15" customFormat="1" ht="20.100000000000001" customHeight="1">
      <c r="A164" s="460"/>
      <c r="B164" s="416" t="s">
        <v>22</v>
      </c>
      <c r="C164" s="436"/>
      <c r="D164" s="113">
        <f>D103-D35</f>
        <v>0</v>
      </c>
      <c r="E164" s="113">
        <f>E103-E35</f>
        <v>0</v>
      </c>
      <c r="F164" s="32">
        <f>F104-F39</f>
        <v>0</v>
      </c>
      <c r="G164" s="27">
        <f>SUM(D164:F164)</f>
        <v>0</v>
      </c>
    </row>
    <row r="165" spans="1:7" s="15" customFormat="1" ht="20.100000000000001" customHeight="1">
      <c r="A165" s="460"/>
      <c r="B165" s="417"/>
      <c r="C165" s="437"/>
      <c r="D165" s="114" t="e">
        <f>D164/D103</f>
        <v>#DIV/0!</v>
      </c>
      <c r="E165" s="114" t="e">
        <f>E164/E103</f>
        <v>#DIV/0!</v>
      </c>
      <c r="F165" s="31" t="e">
        <f>F164/F104</f>
        <v>#DIV/0!</v>
      </c>
      <c r="G165" s="24" t="e">
        <f>G164/G104</f>
        <v>#DIV/0!</v>
      </c>
    </row>
    <row r="166" spans="1:7" s="15" customFormat="1" ht="20.100000000000001" customHeight="1">
      <c r="A166" s="460"/>
      <c r="B166" s="416" t="s">
        <v>53</v>
      </c>
      <c r="C166" s="434"/>
      <c r="D166" s="114"/>
      <c r="E166" s="114"/>
      <c r="F166" s="31"/>
      <c r="G166" s="28">
        <f>SUM(D166:F166)</f>
        <v>0</v>
      </c>
    </row>
    <row r="167" spans="1:7" s="15" customFormat="1" ht="20.100000000000001" customHeight="1">
      <c r="A167" s="460"/>
      <c r="B167" s="417"/>
      <c r="C167" s="435"/>
      <c r="D167" s="114"/>
      <c r="E167" s="114"/>
      <c r="F167" s="31"/>
      <c r="G167" s="24" t="e">
        <f>G166/G105</f>
        <v>#DIV/0!</v>
      </c>
    </row>
    <row r="168" spans="1:7" s="15" customFormat="1" ht="20.100000000000001" customHeight="1">
      <c r="A168" s="460"/>
      <c r="B168" s="416" t="s">
        <v>25</v>
      </c>
      <c r="C168" s="436"/>
      <c r="D168" s="113">
        <f>D105-D39</f>
        <v>0</v>
      </c>
      <c r="E168" s="113">
        <f>E105-E39</f>
        <v>0</v>
      </c>
      <c r="F168" s="32">
        <f>F106-F45</f>
        <v>0</v>
      </c>
      <c r="G168" s="27">
        <f>SUM(D168:F168)</f>
        <v>0</v>
      </c>
    </row>
    <row r="169" spans="1:7" s="15" customFormat="1" ht="20.100000000000001" customHeight="1">
      <c r="A169" s="460"/>
      <c r="B169" s="417"/>
      <c r="C169" s="437"/>
      <c r="D169" s="114" t="e">
        <f>D168/D105</f>
        <v>#DIV/0!</v>
      </c>
      <c r="E169" s="114" t="e">
        <f>E168/E105</f>
        <v>#DIV/0!</v>
      </c>
      <c r="F169" s="31" t="e">
        <f>F168/F106</f>
        <v>#DIV/0!</v>
      </c>
      <c r="G169" s="24" t="e">
        <f>G168/G106</f>
        <v>#DIV/0!</v>
      </c>
    </row>
    <row r="170" spans="1:7" s="15" customFormat="1" ht="20.100000000000001" customHeight="1">
      <c r="A170" s="460"/>
      <c r="B170" s="416" t="s">
        <v>20</v>
      </c>
      <c r="C170" s="436"/>
      <c r="D170" s="113">
        <f>D106-D41</f>
        <v>0</v>
      </c>
      <c r="E170" s="113">
        <f>E106-E41</f>
        <v>0</v>
      </c>
      <c r="F170" s="32">
        <f>F107-F33</f>
        <v>0</v>
      </c>
      <c r="G170" s="27">
        <f>SUM(D170:F170)</f>
        <v>0</v>
      </c>
    </row>
    <row r="171" spans="1:7" s="15" customFormat="1" ht="20.100000000000001" customHeight="1">
      <c r="A171" s="460"/>
      <c r="B171" s="417"/>
      <c r="C171" s="437"/>
      <c r="D171" s="114" t="e">
        <f>D170/D106</f>
        <v>#DIV/0!</v>
      </c>
      <c r="E171" s="114" t="e">
        <f>E170/E106</f>
        <v>#DIV/0!</v>
      </c>
      <c r="F171" s="31" t="e">
        <f>F170/F107</f>
        <v>#DIV/0!</v>
      </c>
      <c r="G171" s="24" t="e">
        <f>G170/G107</f>
        <v>#DIV/0!</v>
      </c>
    </row>
    <row r="172" spans="1:7" s="15" customFormat="1" ht="20.100000000000001" customHeight="1">
      <c r="A172" s="460"/>
      <c r="B172" s="416" t="s">
        <v>103</v>
      </c>
      <c r="C172" s="436"/>
      <c r="D172" s="113">
        <f>D107-D43</f>
        <v>0</v>
      </c>
      <c r="E172" s="113">
        <f>E107-E43</f>
        <v>0</v>
      </c>
      <c r="F172" s="32">
        <f>F108-F47</f>
        <v>0</v>
      </c>
      <c r="G172" s="27">
        <f>SUM(D172:F172)</f>
        <v>0</v>
      </c>
    </row>
    <row r="173" spans="1:7" s="15" customFormat="1" ht="20.100000000000001" customHeight="1">
      <c r="A173" s="460"/>
      <c r="B173" s="417"/>
      <c r="C173" s="437"/>
      <c r="D173" s="114" t="e">
        <f>D172/D107</f>
        <v>#DIV/0!</v>
      </c>
      <c r="E173" s="114" t="e">
        <f>E172/E107</f>
        <v>#DIV/0!</v>
      </c>
      <c r="F173" s="31" t="e">
        <f>F172/F108</f>
        <v>#DIV/0!</v>
      </c>
      <c r="G173" s="24" t="e">
        <f>G172/G108</f>
        <v>#DIV/0!</v>
      </c>
    </row>
    <row r="174" spans="1:7" s="15" customFormat="1" ht="20.100000000000001" customHeight="1">
      <c r="A174" s="460"/>
      <c r="B174" s="416" t="s">
        <v>127</v>
      </c>
      <c r="C174" s="436"/>
      <c r="D174" s="113">
        <f>D108-D45</f>
        <v>0</v>
      </c>
      <c r="E174" s="113">
        <f>E108-E45</f>
        <v>0</v>
      </c>
      <c r="F174" s="32">
        <f>F109-F53</f>
        <v>0</v>
      </c>
      <c r="G174" s="54">
        <f>SUM(D174:F174)</f>
        <v>0</v>
      </c>
    </row>
    <row r="175" spans="1:7" s="15" customFormat="1" ht="20.100000000000001" customHeight="1">
      <c r="A175" s="460"/>
      <c r="B175" s="417"/>
      <c r="C175" s="437"/>
      <c r="D175" s="114" t="e">
        <f>D174/D108</f>
        <v>#DIV/0!</v>
      </c>
      <c r="E175" s="114" t="e">
        <f>E174/E108</f>
        <v>#DIV/0!</v>
      </c>
      <c r="F175" s="31" t="e">
        <f>F174/F109</f>
        <v>#DIV/0!</v>
      </c>
      <c r="G175" s="24" t="e">
        <f>G174/G109</f>
        <v>#DIV/0!</v>
      </c>
    </row>
    <row r="176" spans="1:7" s="15" customFormat="1" ht="20.100000000000001" customHeight="1">
      <c r="A176" s="460"/>
      <c r="B176" s="416" t="s">
        <v>54</v>
      </c>
      <c r="C176" s="434"/>
      <c r="D176" s="113"/>
      <c r="E176" s="113"/>
      <c r="F176" s="32">
        <f>F111-F57</f>
        <v>0</v>
      </c>
      <c r="G176" s="28">
        <f>SUM(D176:F176)</f>
        <v>0</v>
      </c>
    </row>
    <row r="177" spans="1:12" s="33" customFormat="1" ht="20.100000000000001" customHeight="1">
      <c r="A177" s="460"/>
      <c r="B177" s="417"/>
      <c r="C177" s="435"/>
      <c r="D177" s="114"/>
      <c r="E177" s="114"/>
      <c r="F177" s="31" t="e">
        <f>F176/F111</f>
        <v>#DIV/0!</v>
      </c>
      <c r="G177" s="24" t="e">
        <f>G176/G111</f>
        <v>#DIV/0!</v>
      </c>
      <c r="H177" s="15"/>
      <c r="I177" s="15"/>
      <c r="J177" s="15"/>
      <c r="K177" s="15"/>
      <c r="L177" s="15"/>
    </row>
    <row r="178" spans="1:12" s="33" customFormat="1" ht="20.100000000000001" customHeight="1">
      <c r="A178" s="460"/>
      <c r="B178" s="416" t="s">
        <v>23</v>
      </c>
      <c r="C178" s="436"/>
      <c r="D178" s="113"/>
      <c r="E178" s="113"/>
      <c r="F178" s="32">
        <f>(F112-F41)</f>
        <v>0</v>
      </c>
      <c r="G178" s="27">
        <f>SUM(D178:F178)</f>
        <v>0</v>
      </c>
      <c r="H178" s="15"/>
      <c r="I178" s="15"/>
      <c r="J178" s="15"/>
      <c r="K178" s="15"/>
      <c r="L178" s="15"/>
    </row>
    <row r="179" spans="1:12" s="33" customFormat="1" ht="20.100000000000001" customHeight="1">
      <c r="A179" s="460"/>
      <c r="B179" s="417"/>
      <c r="C179" s="437"/>
      <c r="D179" s="114"/>
      <c r="E179" s="114"/>
      <c r="F179" s="31" t="e">
        <f>F178/F112</f>
        <v>#DIV/0!</v>
      </c>
      <c r="G179" s="24" t="e">
        <f>G178/G112</f>
        <v>#DIV/0!</v>
      </c>
      <c r="H179" s="15"/>
      <c r="I179" s="15"/>
      <c r="J179" s="15"/>
      <c r="K179" s="15"/>
      <c r="L179" s="15"/>
    </row>
    <row r="180" spans="1:12" s="33" customFormat="1" ht="20.100000000000001" customHeight="1">
      <c r="A180" s="460"/>
      <c r="B180" s="416" t="s">
        <v>107</v>
      </c>
      <c r="C180" s="116"/>
      <c r="D180" s="114"/>
      <c r="E180" s="114"/>
      <c r="F180" s="31"/>
      <c r="G180" s="24"/>
      <c r="H180" s="15"/>
      <c r="I180" s="15"/>
      <c r="J180" s="15"/>
      <c r="K180" s="15"/>
      <c r="L180" s="15"/>
    </row>
    <row r="181" spans="1:12" s="33" customFormat="1" ht="20.100000000000001" customHeight="1">
      <c r="A181" s="460"/>
      <c r="B181" s="417"/>
      <c r="C181" s="116"/>
      <c r="D181" s="114"/>
      <c r="E181" s="114"/>
      <c r="F181" s="31"/>
      <c r="G181" s="24"/>
      <c r="H181" s="15"/>
      <c r="I181" s="15"/>
      <c r="J181" s="15"/>
      <c r="K181" s="15"/>
      <c r="L181" s="15"/>
    </row>
    <row r="182" spans="1:12" s="33" customFormat="1" ht="20.100000000000001" customHeight="1">
      <c r="A182" s="460"/>
      <c r="B182" s="416" t="s">
        <v>55</v>
      </c>
      <c r="C182" s="434"/>
      <c r="D182" s="113"/>
      <c r="E182" s="113"/>
      <c r="F182" s="32">
        <f>F114-F59</f>
        <v>0</v>
      </c>
      <c r="G182" s="28">
        <f>SUM(D182:F182)</f>
        <v>0</v>
      </c>
      <c r="H182" s="15"/>
      <c r="I182" s="15"/>
      <c r="J182" s="15"/>
      <c r="K182" s="15"/>
      <c r="L182" s="15"/>
    </row>
    <row r="183" spans="1:12" s="33" customFormat="1" ht="20.100000000000001" customHeight="1">
      <c r="A183" s="460"/>
      <c r="B183" s="417"/>
      <c r="C183" s="435"/>
      <c r="D183" s="114"/>
      <c r="E183" s="114"/>
      <c r="F183" s="31" t="e">
        <f>F182/F114</f>
        <v>#DIV/0!</v>
      </c>
      <c r="G183" s="24" t="e">
        <f>G182/G116</f>
        <v>#DIV/0!</v>
      </c>
      <c r="H183" s="15"/>
      <c r="I183" s="15"/>
      <c r="J183" s="15"/>
      <c r="K183" s="15"/>
      <c r="L183" s="15"/>
    </row>
    <row r="184" spans="1:12" s="33" customFormat="1" ht="20.100000000000001" customHeight="1">
      <c r="A184" s="460"/>
      <c r="B184" s="416" t="s">
        <v>34</v>
      </c>
      <c r="C184" s="434"/>
      <c r="D184" s="113"/>
      <c r="E184" s="113"/>
      <c r="F184" s="32">
        <f>F115-F61</f>
        <v>0</v>
      </c>
      <c r="G184" s="28">
        <f>SUM(D184:F184)</f>
        <v>0</v>
      </c>
      <c r="H184" s="15"/>
      <c r="I184" s="15"/>
      <c r="J184" s="15"/>
      <c r="K184" s="15"/>
      <c r="L184" s="15"/>
    </row>
    <row r="185" spans="1:12" s="33" customFormat="1" ht="20.100000000000001" customHeight="1">
      <c r="A185" s="460"/>
      <c r="B185" s="417"/>
      <c r="C185" s="435"/>
      <c r="D185" s="114"/>
      <c r="E185" s="114"/>
      <c r="F185" s="31" t="e">
        <f>F184/F115</f>
        <v>#DIV/0!</v>
      </c>
      <c r="G185" s="24" t="e">
        <f>G184/G121</f>
        <v>#DIV/0!</v>
      </c>
      <c r="H185" s="15"/>
      <c r="I185" s="15"/>
      <c r="J185" s="15"/>
      <c r="K185" s="15"/>
      <c r="L185" s="15"/>
    </row>
    <row r="186" spans="1:12" s="33" customFormat="1" ht="20.100000000000001" customHeight="1">
      <c r="A186" s="460"/>
      <c r="B186" s="416" t="s">
        <v>35</v>
      </c>
      <c r="C186" s="434"/>
      <c r="D186" s="113">
        <f>D115-D59</f>
        <v>0</v>
      </c>
      <c r="E186" s="113">
        <f>E115-E59</f>
        <v>0</v>
      </c>
      <c r="F186" s="32">
        <f>F116-F63</f>
        <v>0</v>
      </c>
      <c r="G186" s="28">
        <f>SUM(D186:F186)</f>
        <v>0</v>
      </c>
      <c r="H186" s="15"/>
      <c r="I186" s="15"/>
      <c r="J186" s="15"/>
      <c r="K186" s="15"/>
      <c r="L186" s="15"/>
    </row>
    <row r="187" spans="1:12" s="33" customFormat="1" ht="20.100000000000001" customHeight="1">
      <c r="A187" s="460"/>
      <c r="B187" s="417"/>
      <c r="C187" s="435"/>
      <c r="D187" s="114" t="e">
        <f>D186/D115</f>
        <v>#DIV/0!</v>
      </c>
      <c r="E187" s="114" t="e">
        <f>E186/E115</f>
        <v>#DIV/0!</v>
      </c>
      <c r="F187" s="31" t="e">
        <f>F186/F116</f>
        <v>#DIV/0!</v>
      </c>
      <c r="G187" s="24" t="e">
        <f>G186/G115</f>
        <v>#DIV/0!</v>
      </c>
      <c r="H187" s="15"/>
      <c r="I187" s="15"/>
      <c r="J187" s="15"/>
      <c r="K187" s="15"/>
      <c r="L187" s="15"/>
    </row>
    <row r="188" spans="1:12" s="33" customFormat="1" ht="20.100000000000001" customHeight="1">
      <c r="A188" s="460"/>
      <c r="B188" s="416" t="s">
        <v>36</v>
      </c>
      <c r="C188" s="434"/>
      <c r="D188" s="113"/>
      <c r="E188" s="113"/>
      <c r="F188" s="32">
        <f>F118-F67</f>
        <v>0</v>
      </c>
      <c r="G188" s="28">
        <f>SUM(D188:F188)</f>
        <v>0</v>
      </c>
      <c r="H188" s="15"/>
      <c r="I188" s="15"/>
      <c r="J188" s="15"/>
      <c r="K188" s="15"/>
      <c r="L188" s="15"/>
    </row>
    <row r="189" spans="1:12" s="33" customFormat="1" ht="20.100000000000001" customHeight="1">
      <c r="A189" s="460"/>
      <c r="B189" s="417"/>
      <c r="C189" s="435"/>
      <c r="D189" s="114"/>
      <c r="E189" s="114"/>
      <c r="F189" s="31" t="e">
        <f>F188/F118</f>
        <v>#DIV/0!</v>
      </c>
      <c r="G189" s="24" t="e">
        <f>G188/G119</f>
        <v>#DIV/0!</v>
      </c>
      <c r="H189" s="15"/>
      <c r="I189" s="15"/>
      <c r="J189" s="15"/>
      <c r="K189" s="15"/>
      <c r="L189" s="15"/>
    </row>
    <row r="190" spans="1:12" s="33" customFormat="1" ht="20.100000000000001" customHeight="1">
      <c r="A190" s="460"/>
      <c r="B190" s="416" t="s">
        <v>129</v>
      </c>
      <c r="C190" s="434"/>
      <c r="D190" s="114"/>
      <c r="E190" s="114"/>
      <c r="F190" s="31"/>
      <c r="G190" s="24"/>
      <c r="H190" s="15"/>
      <c r="I190" s="15"/>
      <c r="J190" s="15"/>
      <c r="K190" s="15"/>
      <c r="L190" s="15"/>
    </row>
    <row r="191" spans="1:12" s="33" customFormat="1" ht="20.100000000000001" customHeight="1">
      <c r="A191" s="460"/>
      <c r="B191" s="417"/>
      <c r="C191" s="435"/>
      <c r="D191" s="114"/>
      <c r="E191" s="114"/>
      <c r="F191" s="31"/>
      <c r="G191" s="24"/>
      <c r="H191" s="15"/>
      <c r="I191" s="15"/>
      <c r="J191" s="15"/>
      <c r="K191" s="15"/>
      <c r="L191" s="15"/>
    </row>
    <row r="192" spans="1:12" s="33" customFormat="1" ht="20.100000000000001" customHeight="1">
      <c r="A192" s="460"/>
      <c r="B192" s="416" t="s">
        <v>130</v>
      </c>
      <c r="C192" s="434"/>
      <c r="D192" s="114"/>
      <c r="E192" s="114"/>
      <c r="F192" s="32">
        <f>F120-F69</f>
        <v>0</v>
      </c>
      <c r="G192" s="24"/>
      <c r="H192" s="15"/>
      <c r="I192" s="15"/>
      <c r="J192" s="15"/>
      <c r="K192" s="15"/>
      <c r="L192" s="15"/>
    </row>
    <row r="193" spans="1:12" s="33" customFormat="1" ht="20.100000000000001" customHeight="1">
      <c r="A193" s="460"/>
      <c r="B193" s="417"/>
      <c r="C193" s="435"/>
      <c r="D193" s="114"/>
      <c r="E193" s="114"/>
      <c r="F193" s="31" t="e">
        <f>F192/F120</f>
        <v>#DIV/0!</v>
      </c>
      <c r="G193" s="24"/>
      <c r="H193" s="15"/>
      <c r="I193" s="15"/>
      <c r="J193" s="15"/>
      <c r="K193" s="15"/>
      <c r="L193" s="15"/>
    </row>
    <row r="194" spans="1:12" s="33" customFormat="1" ht="20.100000000000001" customHeight="1">
      <c r="A194" s="460"/>
      <c r="B194" s="416" t="s">
        <v>133</v>
      </c>
      <c r="C194" s="434"/>
      <c r="D194" s="113">
        <f>D121-D71</f>
        <v>0</v>
      </c>
      <c r="E194" s="113">
        <f>E121-E71</f>
        <v>0</v>
      </c>
      <c r="F194" s="31"/>
      <c r="G194" s="24"/>
      <c r="H194" s="15"/>
      <c r="I194" s="15"/>
      <c r="J194" s="15"/>
      <c r="K194" s="15"/>
      <c r="L194" s="15"/>
    </row>
    <row r="195" spans="1:12" s="33" customFormat="1" ht="20.100000000000001" customHeight="1">
      <c r="A195" s="460"/>
      <c r="B195" s="417"/>
      <c r="C195" s="435"/>
      <c r="D195" s="114" t="e">
        <f>D194/D121</f>
        <v>#DIV/0!</v>
      </c>
      <c r="E195" s="114" t="e">
        <f>E194/E121</f>
        <v>#DIV/0!</v>
      </c>
      <c r="F195" s="31"/>
      <c r="G195" s="24"/>
      <c r="H195" s="15"/>
      <c r="I195" s="15"/>
      <c r="J195" s="15"/>
      <c r="K195" s="15"/>
      <c r="L195" s="15"/>
    </row>
    <row r="196" spans="1:12" s="33" customFormat="1" ht="20.100000000000001" customHeight="1">
      <c r="A196" s="460"/>
      <c r="B196" s="416" t="s">
        <v>131</v>
      </c>
      <c r="C196" s="434"/>
      <c r="D196" s="114"/>
      <c r="E196" s="114"/>
      <c r="F196" s="31"/>
      <c r="G196" s="24"/>
      <c r="H196" s="15"/>
      <c r="I196" s="15"/>
      <c r="J196" s="15"/>
      <c r="K196" s="15"/>
      <c r="L196" s="15"/>
    </row>
    <row r="197" spans="1:12" s="33" customFormat="1" ht="20.100000000000001" customHeight="1">
      <c r="A197" s="460"/>
      <c r="B197" s="417"/>
      <c r="C197" s="435"/>
      <c r="D197" s="114"/>
      <c r="E197" s="114"/>
      <c r="F197" s="31"/>
      <c r="G197" s="24"/>
      <c r="H197" s="15"/>
      <c r="I197" s="15"/>
      <c r="J197" s="15"/>
      <c r="K197" s="15"/>
      <c r="L197" s="15"/>
    </row>
    <row r="198" spans="1:12" s="33" customFormat="1" ht="20.100000000000001" customHeight="1">
      <c r="A198" s="460"/>
      <c r="B198" s="416" t="s">
        <v>132</v>
      </c>
      <c r="C198" s="434"/>
      <c r="D198" s="114"/>
      <c r="E198" s="114"/>
      <c r="F198" s="31"/>
      <c r="G198" s="24"/>
      <c r="H198" s="15"/>
      <c r="I198" s="15"/>
      <c r="J198" s="15"/>
      <c r="K198" s="15"/>
      <c r="L198" s="15"/>
    </row>
    <row r="199" spans="1:12" s="33" customFormat="1" ht="20.100000000000001" customHeight="1">
      <c r="A199" s="460"/>
      <c r="B199" s="417"/>
      <c r="C199" s="435"/>
      <c r="D199" s="114"/>
      <c r="E199" s="114"/>
      <c r="F199" s="31"/>
      <c r="G199" s="24"/>
      <c r="H199" s="15"/>
      <c r="I199" s="15"/>
      <c r="J199" s="15"/>
      <c r="K199" s="15"/>
      <c r="L199" s="15"/>
    </row>
    <row r="200" spans="1:12" s="33" customFormat="1" ht="20.100000000000001" customHeight="1">
      <c r="A200" s="460"/>
      <c r="B200" s="416" t="s">
        <v>134</v>
      </c>
      <c r="C200" s="434"/>
      <c r="D200" s="113">
        <f>D124-D77</f>
        <v>0</v>
      </c>
      <c r="E200" s="113">
        <f>E124-E77</f>
        <v>0</v>
      </c>
      <c r="F200" s="31"/>
      <c r="G200" s="24"/>
      <c r="H200" s="15"/>
      <c r="I200" s="15"/>
      <c r="J200" s="15"/>
      <c r="K200" s="15"/>
      <c r="L200" s="15"/>
    </row>
    <row r="201" spans="1:12" s="33" customFormat="1" ht="20.100000000000001" customHeight="1">
      <c r="A201" s="460"/>
      <c r="B201" s="417"/>
      <c r="C201" s="435"/>
      <c r="D201" s="114" t="e">
        <f>D200/D124</f>
        <v>#DIV/0!</v>
      </c>
      <c r="E201" s="114" t="e">
        <f>E200/E124</f>
        <v>#DIV/0!</v>
      </c>
      <c r="F201" s="31"/>
      <c r="G201" s="24"/>
      <c r="H201" s="15"/>
      <c r="I201" s="15"/>
      <c r="J201" s="15"/>
      <c r="K201" s="15"/>
      <c r="L201" s="15"/>
    </row>
    <row r="202" spans="1:12" s="33" customFormat="1" ht="20.100000000000001" customHeight="1">
      <c r="A202" s="460"/>
      <c r="B202" s="416" t="s">
        <v>135</v>
      </c>
      <c r="C202" s="434"/>
      <c r="D202" s="113">
        <f>D125-D79</f>
        <v>-12800</v>
      </c>
      <c r="E202" s="113">
        <f>E125-E79</f>
        <v>0</v>
      </c>
      <c r="F202" s="31"/>
      <c r="G202" s="24"/>
      <c r="H202" s="15"/>
      <c r="I202" s="15"/>
      <c r="J202" s="15"/>
      <c r="K202" s="15"/>
      <c r="L202" s="15"/>
    </row>
    <row r="203" spans="1:12" s="33" customFormat="1" ht="20.100000000000001" customHeight="1">
      <c r="A203" s="460"/>
      <c r="B203" s="417"/>
      <c r="C203" s="435"/>
      <c r="D203" s="114" t="e">
        <f>D202/D125</f>
        <v>#DIV/0!</v>
      </c>
      <c r="E203" s="114" t="e">
        <f>E202/E125</f>
        <v>#DIV/0!</v>
      </c>
      <c r="F203" s="31"/>
      <c r="G203" s="24"/>
      <c r="H203" s="15"/>
      <c r="I203" s="15"/>
      <c r="J203" s="15"/>
      <c r="K203" s="15"/>
      <c r="L203" s="15"/>
    </row>
    <row r="204" spans="1:12" s="33" customFormat="1" ht="20.100000000000001" customHeight="1">
      <c r="A204" s="460"/>
      <c r="B204" s="416" t="s">
        <v>230</v>
      </c>
      <c r="C204" s="434"/>
      <c r="D204" s="114"/>
      <c r="E204" s="114"/>
      <c r="F204" s="31"/>
      <c r="G204" s="24"/>
      <c r="H204" s="15"/>
      <c r="I204" s="15"/>
      <c r="J204" s="15"/>
      <c r="K204" s="15"/>
      <c r="L204" s="15"/>
    </row>
    <row r="205" spans="1:12" s="33" customFormat="1" ht="20.100000000000001" customHeight="1">
      <c r="A205" s="460"/>
      <c r="B205" s="417"/>
      <c r="C205" s="435"/>
      <c r="D205" s="114"/>
      <c r="E205" s="114"/>
      <c r="F205" s="31"/>
      <c r="G205" s="24"/>
      <c r="H205" s="15"/>
      <c r="I205" s="15"/>
      <c r="J205" s="15"/>
      <c r="K205" s="15"/>
      <c r="L205" s="15"/>
    </row>
    <row r="206" spans="1:12" s="33" customFormat="1" ht="20.100000000000001" customHeight="1">
      <c r="A206" s="460"/>
      <c r="B206" s="416" t="s">
        <v>231</v>
      </c>
      <c r="C206" s="434"/>
      <c r="D206" s="114"/>
      <c r="E206" s="114"/>
      <c r="F206" s="31"/>
      <c r="G206" s="24"/>
      <c r="H206" s="15"/>
      <c r="I206" s="15"/>
      <c r="J206" s="15"/>
      <c r="K206" s="15"/>
      <c r="L206" s="15"/>
    </row>
    <row r="207" spans="1:12" s="33" customFormat="1" ht="20.100000000000001" customHeight="1">
      <c r="A207" s="460"/>
      <c r="B207" s="417"/>
      <c r="C207" s="435"/>
      <c r="D207" s="114"/>
      <c r="E207" s="114"/>
      <c r="F207" s="31"/>
      <c r="G207" s="24"/>
      <c r="H207" s="15"/>
      <c r="I207" s="15"/>
      <c r="J207" s="15"/>
      <c r="K207" s="15"/>
      <c r="L207" s="15"/>
    </row>
    <row r="208" spans="1:12" s="33" customFormat="1" ht="20.100000000000001" customHeight="1">
      <c r="A208" s="460"/>
      <c r="B208" s="416" t="s">
        <v>236</v>
      </c>
      <c r="C208" s="434"/>
      <c r="D208" s="114"/>
      <c r="E208" s="114"/>
      <c r="F208" s="31"/>
      <c r="G208" s="24"/>
      <c r="H208" s="15"/>
      <c r="I208" s="15"/>
      <c r="J208" s="15"/>
      <c r="K208" s="15"/>
      <c r="L208" s="15"/>
    </row>
    <row r="209" spans="1:12" s="33" customFormat="1" ht="20.100000000000001" customHeight="1">
      <c r="A209" s="460"/>
      <c r="B209" s="417"/>
      <c r="C209" s="435"/>
      <c r="D209" s="114"/>
      <c r="E209" s="114"/>
      <c r="F209" s="31"/>
      <c r="G209" s="24"/>
      <c r="H209" s="15"/>
      <c r="I209" s="15"/>
      <c r="J209" s="15"/>
      <c r="K209" s="15"/>
      <c r="L209" s="15"/>
    </row>
    <row r="210" spans="1:12" s="33" customFormat="1" ht="20.100000000000001" customHeight="1">
      <c r="A210" s="460"/>
      <c r="B210" s="416" t="s">
        <v>143</v>
      </c>
      <c r="C210" s="125"/>
      <c r="D210" s="114"/>
      <c r="E210" s="114"/>
      <c r="F210" s="31"/>
      <c r="G210" s="24"/>
      <c r="H210" s="15"/>
      <c r="I210" s="15"/>
      <c r="J210" s="15"/>
      <c r="K210" s="15"/>
      <c r="L210" s="15"/>
    </row>
    <row r="211" spans="1:12" s="33" customFormat="1" ht="20.100000000000001" customHeight="1">
      <c r="A211" s="460"/>
      <c r="B211" s="417"/>
      <c r="C211" s="125"/>
      <c r="D211" s="114"/>
      <c r="E211" s="114"/>
      <c r="F211" s="31"/>
      <c r="G211" s="24"/>
      <c r="H211" s="15"/>
      <c r="I211" s="15"/>
      <c r="J211" s="15"/>
      <c r="K211" s="15"/>
      <c r="L211" s="15"/>
    </row>
    <row r="212" spans="1:12" s="33" customFormat="1" ht="20.100000000000001" customHeight="1">
      <c r="A212" s="460"/>
      <c r="B212" s="418" t="s">
        <v>56</v>
      </c>
      <c r="C212" s="419"/>
      <c r="D212" s="113" t="e">
        <f>D130-#REF!</f>
        <v>#REF!</v>
      </c>
      <c r="E212" s="113" t="e">
        <f>E130-#REF!</f>
        <v>#REF!</v>
      </c>
      <c r="F212" s="32">
        <f>F125-F35</f>
        <v>0</v>
      </c>
      <c r="G212" s="27" t="e">
        <f>SUM(D212:F212)</f>
        <v>#REF!</v>
      </c>
      <c r="H212" s="15"/>
      <c r="I212" s="15"/>
      <c r="J212" s="15"/>
      <c r="K212" s="15"/>
      <c r="L212" s="15"/>
    </row>
    <row r="213" spans="1:12" s="33" customFormat="1" ht="20.100000000000001" customHeight="1">
      <c r="A213" s="460"/>
      <c r="B213" s="420"/>
      <c r="C213" s="421"/>
      <c r="D213" s="114" t="e">
        <f>D212/D130</f>
        <v>#REF!</v>
      </c>
      <c r="E213" s="114" t="e">
        <f>E212/E130</f>
        <v>#REF!</v>
      </c>
      <c r="F213" s="31"/>
      <c r="G213" s="24" t="e">
        <f>G212/G125</f>
        <v>#REF!</v>
      </c>
      <c r="H213" s="15"/>
      <c r="I213" s="15"/>
      <c r="J213" s="15"/>
      <c r="K213" s="15"/>
      <c r="L213" s="15"/>
    </row>
    <row r="214" spans="1:12" s="33" customFormat="1" ht="20.100000000000001" customHeight="1">
      <c r="A214" s="460"/>
      <c r="B214" s="422" t="s">
        <v>136</v>
      </c>
      <c r="C214" s="423"/>
      <c r="D214" s="113" t="e">
        <f>D131-#REF!</f>
        <v>#REF!</v>
      </c>
      <c r="E214" s="113" t="e">
        <f>E131-#REF!</f>
        <v>#REF!</v>
      </c>
      <c r="F214" s="31"/>
      <c r="G214" s="24"/>
      <c r="H214" s="15"/>
      <c r="I214" s="15"/>
      <c r="J214" s="15"/>
      <c r="K214" s="15"/>
      <c r="L214" s="15"/>
    </row>
    <row r="215" spans="1:12" s="33" customFormat="1" ht="20.100000000000001" customHeight="1">
      <c r="A215" s="461"/>
      <c r="B215" s="424"/>
      <c r="C215" s="425"/>
      <c r="D215" s="114" t="e">
        <f>D214/D131</f>
        <v>#REF!</v>
      </c>
      <c r="E215" s="114" t="e">
        <f>E214/E131</f>
        <v>#REF!</v>
      </c>
      <c r="F215" s="31"/>
      <c r="G215" s="24"/>
      <c r="H215" s="15"/>
      <c r="I215" s="15"/>
      <c r="J215" s="15"/>
      <c r="K215" s="15"/>
      <c r="L215" s="15"/>
    </row>
    <row r="216" spans="1:12" s="33" customFormat="1" ht="20.100000000000001" customHeight="1">
      <c r="A216" s="108"/>
      <c r="B216" s="422" t="s">
        <v>137</v>
      </c>
      <c r="C216" s="423"/>
      <c r="D216" s="113">
        <f>D132-D87</f>
        <v>0</v>
      </c>
      <c r="E216" s="113">
        <f>E132-E87</f>
        <v>7290</v>
      </c>
      <c r="F216" s="31"/>
      <c r="G216" s="24"/>
      <c r="H216" s="15"/>
      <c r="I216" s="15"/>
      <c r="J216" s="15"/>
      <c r="K216" s="15"/>
      <c r="L216" s="15"/>
    </row>
    <row r="217" spans="1:12" s="33" customFormat="1" ht="20.100000000000001" customHeight="1">
      <c r="A217" s="108"/>
      <c r="B217" s="424"/>
      <c r="C217" s="425"/>
      <c r="D217" s="114">
        <f>D216/D132</f>
        <v>0</v>
      </c>
      <c r="E217" s="114">
        <f>E216/E132</f>
        <v>1</v>
      </c>
      <c r="F217" s="31"/>
      <c r="G217" s="24"/>
      <c r="H217" s="15"/>
      <c r="I217" s="15"/>
      <c r="J217" s="15"/>
      <c r="K217" s="15"/>
      <c r="L217" s="15"/>
    </row>
    <row r="218" spans="1:12" s="33" customFormat="1" ht="20.100000000000001" customHeight="1">
      <c r="A218" s="476" t="s">
        <v>57</v>
      </c>
      <c r="B218" s="432" t="s">
        <v>58</v>
      </c>
      <c r="C218" s="433"/>
      <c r="D218" s="67" t="e">
        <f>D138+D140+D142+D144+D146+D148+D150+D152+D154+D156+D158+D160+D162+D164+D166+D168+D170+D172+D174+D176+D178+D182+D184+D186+D188+D190+D192+D194+D196+D198+D200+D202+D212+D214+D210+D180</f>
        <v>#REF!</v>
      </c>
      <c r="E218" s="67" t="e">
        <f>E138+E140+E142+E144+E146+E148+E150+E152+E154+E156+E158+E160+E162+E164+E166+E168+E170+E172+E174+E176+E178+E182+E184+E186+E188+E190+E192+E194+E196+E198+E200+E202+E212+E214+E210+E180</f>
        <v>#REF!</v>
      </c>
      <c r="F218" s="67">
        <f>F138+F140+F142+F144+F146+F148+F150+F152+F154+F156+F158+F160+F162+F164+F166+F168+F170+F172+F174+F176+F178+F182+F184+F186+F188+F190+F192+F194+F196+F198+F200+F202+F212+F214+F210+F180</f>
        <v>0</v>
      </c>
      <c r="G218" s="21" t="e">
        <f>SUM(D218:F218)</f>
        <v>#REF!</v>
      </c>
      <c r="H218" s="23" t="e">
        <f>#REF!+#REF!</f>
        <v>#REF!</v>
      </c>
      <c r="I218" s="23" t="e">
        <f>H218+144000</f>
        <v>#REF!</v>
      </c>
      <c r="J218" s="15"/>
      <c r="K218" s="15"/>
      <c r="L218" s="15"/>
    </row>
    <row r="219" spans="1:12" s="33" customFormat="1" ht="20.100000000000001" customHeight="1">
      <c r="A219" s="476"/>
      <c r="B219" s="432" t="s">
        <v>59</v>
      </c>
      <c r="C219" s="433"/>
      <c r="D219" s="25" t="e">
        <f>D218/(D133-D132)</f>
        <v>#REF!</v>
      </c>
      <c r="E219" s="25" t="e">
        <f>E218/(E133-E132)</f>
        <v>#REF!</v>
      </c>
      <c r="F219" s="25" t="e">
        <f>F218/(F133-F132)</f>
        <v>#DIV/0!</v>
      </c>
      <c r="G219" s="24" t="e">
        <f>G218/G133</f>
        <v>#REF!</v>
      </c>
      <c r="H219" s="15"/>
      <c r="I219" s="15"/>
      <c r="J219" s="15"/>
      <c r="K219" s="15"/>
      <c r="L219" s="15"/>
    </row>
    <row r="220" spans="1:12" s="33" customFormat="1" ht="20.100000000000001" customHeight="1">
      <c r="A220" s="215"/>
      <c r="B220" s="217" t="s">
        <v>227</v>
      </c>
      <c r="C220" s="216"/>
      <c r="D220" s="29" t="e">
        <f>D218+D216</f>
        <v>#REF!</v>
      </c>
      <c r="E220" s="29" t="e">
        <f>E218+E216</f>
        <v>#REF!</v>
      </c>
      <c r="F220" s="29">
        <f>F218+F216</f>
        <v>0</v>
      </c>
      <c r="G220" s="218" t="e">
        <f>SUM(D220:F220)</f>
        <v>#REF!</v>
      </c>
      <c r="H220" s="15"/>
      <c r="I220" s="15"/>
      <c r="J220" s="15"/>
      <c r="K220" s="15"/>
      <c r="L220" s="15"/>
    </row>
    <row r="221" spans="1:12" s="33" customFormat="1" ht="20.100000000000001" customHeight="1">
      <c r="A221" s="215"/>
      <c r="B221" s="217" t="s">
        <v>228</v>
      </c>
      <c r="C221" s="216"/>
      <c r="D221" s="25" t="e">
        <f>D220/D133</f>
        <v>#REF!</v>
      </c>
      <c r="E221" s="25" t="e">
        <f>E220/E133</f>
        <v>#REF!</v>
      </c>
      <c r="F221" s="25" t="e">
        <f>F220/F133</f>
        <v>#DIV/0!</v>
      </c>
      <c r="G221" s="24" t="e">
        <f>G220/G133</f>
        <v>#REF!</v>
      </c>
      <c r="H221" s="15"/>
      <c r="I221" s="15"/>
      <c r="J221" s="15"/>
      <c r="K221" s="15"/>
      <c r="L221" s="15"/>
    </row>
    <row r="222" spans="1:12" s="33" customFormat="1" ht="15" customHeight="1">
      <c r="A222" s="477" t="s">
        <v>60</v>
      </c>
      <c r="B222" s="478"/>
      <c r="C222" s="478"/>
      <c r="D222" s="525">
        <f>D133</f>
        <v>24439</v>
      </c>
      <c r="E222" s="525">
        <f>E133</f>
        <v>21520</v>
      </c>
      <c r="F222" s="525">
        <f>F133</f>
        <v>0</v>
      </c>
      <c r="G222" s="527"/>
      <c r="H222" s="15"/>
      <c r="I222" s="15"/>
      <c r="J222" s="15"/>
      <c r="K222" s="15"/>
      <c r="L222" s="15"/>
    </row>
    <row r="223" spans="1:12" s="33" customFormat="1" ht="15" customHeight="1">
      <c r="A223" s="414"/>
      <c r="B223" s="415"/>
      <c r="C223" s="415"/>
      <c r="D223" s="525"/>
      <c r="E223" s="525"/>
      <c r="F223" s="525"/>
      <c r="G223" s="527"/>
      <c r="H223" s="15"/>
      <c r="I223" s="15"/>
      <c r="J223" s="15"/>
      <c r="K223" s="15"/>
      <c r="L223" s="15"/>
    </row>
    <row r="224" spans="1:12" s="33" customFormat="1" ht="19.5" customHeight="1">
      <c r="A224" s="410" t="s">
        <v>61</v>
      </c>
      <c r="B224" s="411"/>
      <c r="C224" s="411"/>
      <c r="D224" s="65"/>
      <c r="E224" s="65"/>
      <c r="F224" s="65"/>
      <c r="G224" s="21"/>
      <c r="H224" s="15"/>
      <c r="I224" s="15"/>
      <c r="J224" s="15"/>
      <c r="K224" s="15"/>
      <c r="L224" s="15"/>
    </row>
    <row r="225" spans="1:12" s="33" customFormat="1" ht="14.25">
      <c r="A225" s="396" t="s">
        <v>62</v>
      </c>
      <c r="B225" s="390" t="s">
        <v>63</v>
      </c>
      <c r="C225" s="391"/>
      <c r="D225" s="522"/>
      <c r="E225" s="523"/>
      <c r="F225" s="523"/>
      <c r="G225" s="522"/>
      <c r="H225" s="23"/>
      <c r="I225" s="15"/>
      <c r="J225" s="15"/>
      <c r="K225" s="15"/>
      <c r="L225" s="15"/>
    </row>
    <row r="226" spans="1:12" s="33" customFormat="1" ht="14.25">
      <c r="A226" s="390"/>
      <c r="B226" s="390"/>
      <c r="C226" s="391"/>
      <c r="D226" s="522"/>
      <c r="E226" s="524"/>
      <c r="F226" s="524"/>
      <c r="G226" s="522"/>
      <c r="H226" s="15"/>
      <c r="I226" s="15"/>
      <c r="J226" s="15"/>
      <c r="K226" s="15"/>
      <c r="L226" s="15"/>
    </row>
    <row r="227" spans="1:12" s="33" customFormat="1" ht="14.25">
      <c r="A227" s="390"/>
      <c r="B227" s="390" t="s">
        <v>64</v>
      </c>
      <c r="C227" s="391"/>
      <c r="D227" s="526">
        <v>24439</v>
      </c>
      <c r="E227" s="537"/>
      <c r="F227" s="528"/>
      <c r="G227" s="522"/>
      <c r="H227" s="23" t="e">
        <f>F239+#REF!+#REF!</f>
        <v>#REF!</v>
      </c>
      <c r="I227" s="15"/>
      <c r="J227" s="15"/>
      <c r="K227" s="15"/>
      <c r="L227" s="15"/>
    </row>
    <row r="228" spans="1:12" s="33" customFormat="1" ht="14.25">
      <c r="A228" s="390"/>
      <c r="B228" s="390"/>
      <c r="C228" s="391"/>
      <c r="D228" s="526"/>
      <c r="E228" s="538"/>
      <c r="F228" s="528"/>
      <c r="G228" s="522"/>
      <c r="H228" s="15"/>
      <c r="I228" s="15"/>
      <c r="J228" s="15"/>
      <c r="K228" s="15"/>
      <c r="L228" s="15"/>
    </row>
    <row r="229" spans="1:12" s="33" customFormat="1" ht="14.25">
      <c r="A229" s="396" t="s">
        <v>65</v>
      </c>
      <c r="B229" s="390" t="s">
        <v>63</v>
      </c>
      <c r="C229" s="391"/>
      <c r="D229" s="536"/>
      <c r="E229" s="518"/>
      <c r="F229" s="522"/>
      <c r="G229" s="522"/>
      <c r="H229" s="15"/>
      <c r="I229" s="15"/>
      <c r="J229" s="15"/>
      <c r="K229" s="15"/>
      <c r="L229" s="15"/>
    </row>
    <row r="230" spans="1:12" s="33" customFormat="1" ht="14.25">
      <c r="A230" s="390"/>
      <c r="B230" s="390"/>
      <c r="C230" s="391"/>
      <c r="D230" s="536"/>
      <c r="E230" s="519"/>
      <c r="F230" s="522"/>
      <c r="G230" s="522"/>
      <c r="H230" s="15"/>
      <c r="I230" s="15"/>
      <c r="J230" s="15"/>
      <c r="K230" s="15"/>
      <c r="L230" s="15"/>
    </row>
    <row r="231" spans="1:12" s="33" customFormat="1" ht="14.25">
      <c r="A231" s="390"/>
      <c r="B231" s="390" t="s">
        <v>64</v>
      </c>
      <c r="C231" s="391"/>
      <c r="D231" s="528"/>
      <c r="E231" s="520"/>
      <c r="F231" s="526"/>
      <c r="G231" s="522"/>
      <c r="H231" s="15"/>
      <c r="I231" s="15"/>
      <c r="J231" s="15"/>
      <c r="K231" s="15"/>
      <c r="L231" s="15"/>
    </row>
    <row r="232" spans="1:12" s="33" customFormat="1" ht="14.25">
      <c r="A232" s="390"/>
      <c r="B232" s="390"/>
      <c r="C232" s="391"/>
      <c r="D232" s="528"/>
      <c r="E232" s="521"/>
      <c r="F232" s="526"/>
      <c r="G232" s="522"/>
      <c r="H232" s="15"/>
      <c r="I232" s="15"/>
      <c r="J232" s="15"/>
      <c r="K232" s="15"/>
      <c r="L232" s="15"/>
    </row>
    <row r="233" spans="1:12" s="33" customFormat="1" ht="14.25">
      <c r="A233" s="396" t="s">
        <v>66</v>
      </c>
      <c r="B233" s="390" t="s">
        <v>63</v>
      </c>
      <c r="C233" s="391"/>
      <c r="D233" s="522"/>
      <c r="E233" s="518"/>
      <c r="F233" s="522"/>
      <c r="G233" s="522"/>
      <c r="H233" s="15"/>
      <c r="I233" s="15"/>
      <c r="J233" s="15"/>
      <c r="K233" s="15"/>
      <c r="L233" s="15"/>
    </row>
    <row r="234" spans="1:12" s="33" customFormat="1" ht="14.25">
      <c r="A234" s="390"/>
      <c r="B234" s="390"/>
      <c r="C234" s="391"/>
      <c r="D234" s="522"/>
      <c r="E234" s="519"/>
      <c r="F234" s="522"/>
      <c r="G234" s="522"/>
      <c r="H234" s="15"/>
      <c r="I234" s="15"/>
      <c r="J234" s="15"/>
      <c r="K234" s="15"/>
      <c r="L234" s="15"/>
    </row>
    <row r="235" spans="1:12" s="33" customFormat="1" ht="14.25">
      <c r="A235" s="390"/>
      <c r="B235" s="390" t="s">
        <v>64</v>
      </c>
      <c r="C235" s="391"/>
      <c r="D235" s="522"/>
      <c r="E235" s="518"/>
      <c r="F235" s="526"/>
      <c r="G235" s="522"/>
      <c r="H235" s="15"/>
      <c r="I235" s="15"/>
      <c r="J235" s="15"/>
      <c r="K235" s="15"/>
      <c r="L235" s="15"/>
    </row>
    <row r="236" spans="1:12" s="33" customFormat="1" ht="14.25">
      <c r="A236" s="390"/>
      <c r="B236" s="390"/>
      <c r="C236" s="391"/>
      <c r="D236" s="522"/>
      <c r="E236" s="519"/>
      <c r="F236" s="526"/>
      <c r="G236" s="522"/>
      <c r="H236" s="15"/>
      <c r="I236" s="15"/>
      <c r="J236" s="15"/>
      <c r="K236" s="15"/>
      <c r="L236" s="15"/>
    </row>
    <row r="237" spans="1:12" s="33" customFormat="1" ht="13.5" customHeight="1">
      <c r="A237" s="396" t="s">
        <v>67</v>
      </c>
      <c r="B237" s="390" t="s">
        <v>63</v>
      </c>
      <c r="C237" s="391"/>
      <c r="D237" s="522"/>
      <c r="E237" s="518"/>
      <c r="F237" s="522"/>
      <c r="G237" s="522"/>
      <c r="H237" s="15"/>
      <c r="I237" s="15"/>
      <c r="J237" s="15"/>
      <c r="K237" s="15"/>
      <c r="L237" s="15"/>
    </row>
    <row r="238" spans="1:12" s="33" customFormat="1" ht="13.5" customHeight="1">
      <c r="A238" s="390"/>
      <c r="B238" s="390"/>
      <c r="C238" s="391"/>
      <c r="D238" s="522"/>
      <c r="E238" s="519"/>
      <c r="F238" s="522"/>
      <c r="G238" s="522"/>
      <c r="H238" s="15"/>
      <c r="I238" s="15"/>
      <c r="J238" s="15"/>
      <c r="K238" s="15"/>
      <c r="L238" s="15"/>
    </row>
    <row r="239" spans="1:12" s="33" customFormat="1" ht="13.5" customHeight="1">
      <c r="A239" s="390"/>
      <c r="B239" s="390" t="s">
        <v>64</v>
      </c>
      <c r="C239" s="391"/>
      <c r="D239" s="522"/>
      <c r="E239" s="518"/>
      <c r="F239" s="526"/>
      <c r="G239" s="522"/>
      <c r="H239" s="15"/>
      <c r="I239" s="15"/>
      <c r="J239" s="15"/>
      <c r="K239" s="15"/>
      <c r="L239" s="15"/>
    </row>
    <row r="240" spans="1:12" s="33" customFormat="1" ht="13.5" customHeight="1">
      <c r="A240" s="390"/>
      <c r="B240" s="390"/>
      <c r="C240" s="391"/>
      <c r="D240" s="522"/>
      <c r="E240" s="519"/>
      <c r="F240" s="526"/>
      <c r="G240" s="522"/>
      <c r="H240" s="15"/>
      <c r="I240" s="15"/>
      <c r="J240" s="15"/>
      <c r="K240" s="15"/>
      <c r="L240" s="15"/>
    </row>
    <row r="241" spans="1:12" s="33" customFormat="1" ht="13.5" customHeight="1">
      <c r="A241" s="396" t="s">
        <v>68</v>
      </c>
      <c r="B241" s="390" t="s">
        <v>63</v>
      </c>
      <c r="C241" s="391"/>
      <c r="D241" s="522"/>
      <c r="E241" s="518"/>
      <c r="F241" s="522"/>
      <c r="G241" s="522"/>
      <c r="H241" s="15"/>
      <c r="I241" s="15"/>
      <c r="J241" s="15"/>
      <c r="K241" s="15"/>
      <c r="L241" s="15"/>
    </row>
    <row r="242" spans="1:12" s="33" customFormat="1" ht="13.5" customHeight="1">
      <c r="A242" s="390"/>
      <c r="B242" s="390"/>
      <c r="C242" s="391"/>
      <c r="D242" s="522"/>
      <c r="E242" s="519"/>
      <c r="F242" s="522"/>
      <c r="G242" s="522"/>
      <c r="H242" s="15"/>
      <c r="I242" s="15"/>
      <c r="J242" s="15"/>
      <c r="K242" s="15"/>
      <c r="L242" s="15"/>
    </row>
    <row r="243" spans="1:12" s="33" customFormat="1" ht="13.5" customHeight="1">
      <c r="A243" s="390"/>
      <c r="B243" s="390" t="s">
        <v>64</v>
      </c>
      <c r="C243" s="391"/>
      <c r="D243" s="522"/>
      <c r="E243" s="518"/>
      <c r="F243" s="526"/>
      <c r="G243" s="522"/>
      <c r="H243" s="15"/>
      <c r="I243" s="15"/>
      <c r="J243" s="15"/>
      <c r="K243" s="15"/>
      <c r="L243" s="15"/>
    </row>
    <row r="244" spans="1:12" s="33" customFormat="1" ht="13.5" customHeight="1">
      <c r="A244" s="390"/>
      <c r="B244" s="390"/>
      <c r="C244" s="391"/>
      <c r="D244" s="522"/>
      <c r="E244" s="519"/>
      <c r="F244" s="526"/>
      <c r="G244" s="522"/>
      <c r="H244" s="15"/>
      <c r="I244" s="15"/>
      <c r="J244" s="15"/>
      <c r="K244" s="15"/>
      <c r="L244" s="15"/>
    </row>
    <row r="245" spans="1:12" s="33" customFormat="1" ht="13.5" hidden="1" customHeight="1">
      <c r="A245" s="396" t="s">
        <v>69</v>
      </c>
      <c r="B245" s="390" t="s">
        <v>63</v>
      </c>
      <c r="C245" s="391"/>
      <c r="D245" s="522"/>
      <c r="E245" s="518"/>
      <c r="F245" s="522"/>
      <c r="G245" s="522"/>
      <c r="H245" s="15"/>
      <c r="I245" s="15"/>
      <c r="J245" s="15"/>
      <c r="K245" s="15"/>
      <c r="L245" s="15"/>
    </row>
    <row r="246" spans="1:12" s="33" customFormat="1" ht="13.5" hidden="1" customHeight="1">
      <c r="A246" s="390"/>
      <c r="B246" s="390"/>
      <c r="C246" s="391"/>
      <c r="D246" s="522"/>
      <c r="E246" s="519"/>
      <c r="F246" s="522"/>
      <c r="G246" s="522"/>
      <c r="H246" s="15"/>
      <c r="I246" s="15"/>
      <c r="J246" s="15"/>
      <c r="K246" s="15"/>
      <c r="L246" s="15"/>
    </row>
    <row r="247" spans="1:12" s="33" customFormat="1" ht="13.5" hidden="1" customHeight="1">
      <c r="A247" s="390"/>
      <c r="B247" s="390" t="s">
        <v>64</v>
      </c>
      <c r="C247" s="391"/>
      <c r="D247" s="522"/>
      <c r="E247" s="518"/>
      <c r="F247" s="522"/>
      <c r="G247" s="522"/>
      <c r="H247" s="15"/>
      <c r="I247" s="15"/>
      <c r="J247" s="15"/>
      <c r="K247" s="15"/>
      <c r="L247" s="15"/>
    </row>
    <row r="248" spans="1:12" s="33" customFormat="1" ht="13.5" hidden="1" customHeight="1">
      <c r="A248" s="390"/>
      <c r="B248" s="390"/>
      <c r="C248" s="391"/>
      <c r="D248" s="522"/>
      <c r="E248" s="519"/>
      <c r="F248" s="522"/>
      <c r="G248" s="522"/>
      <c r="H248" s="15"/>
      <c r="I248" s="15"/>
      <c r="J248" s="15"/>
      <c r="K248" s="15"/>
      <c r="L248" s="15"/>
    </row>
    <row r="249" spans="1:12" s="33" customFormat="1" ht="13.5" hidden="1" customHeight="1">
      <c r="A249" s="396" t="s">
        <v>69</v>
      </c>
      <c r="B249" s="390" t="s">
        <v>63</v>
      </c>
      <c r="C249" s="391"/>
      <c r="D249" s="522"/>
      <c r="E249" s="518"/>
      <c r="F249" s="522"/>
      <c r="G249" s="522"/>
      <c r="H249" s="15"/>
      <c r="I249" s="15"/>
      <c r="J249" s="15"/>
      <c r="K249" s="15"/>
      <c r="L249" s="15"/>
    </row>
    <row r="250" spans="1:12" s="33" customFormat="1" ht="13.5" hidden="1" customHeight="1">
      <c r="A250" s="390"/>
      <c r="B250" s="390"/>
      <c r="C250" s="391"/>
      <c r="D250" s="522"/>
      <c r="E250" s="519"/>
      <c r="F250" s="522"/>
      <c r="G250" s="522"/>
      <c r="H250" s="15"/>
      <c r="I250" s="15"/>
      <c r="J250" s="15"/>
      <c r="K250" s="15"/>
      <c r="L250" s="15"/>
    </row>
    <row r="251" spans="1:12" s="33" customFormat="1" ht="13.5" hidden="1" customHeight="1">
      <c r="A251" s="390"/>
      <c r="B251" s="390" t="s">
        <v>64</v>
      </c>
      <c r="C251" s="391"/>
      <c r="D251" s="526"/>
      <c r="E251" s="518"/>
      <c r="F251" s="526"/>
      <c r="G251" s="522"/>
      <c r="H251" s="15"/>
      <c r="I251" s="15"/>
      <c r="J251" s="15"/>
      <c r="K251" s="15"/>
      <c r="L251" s="15"/>
    </row>
    <row r="252" spans="1:12" s="33" customFormat="1" ht="13.5" hidden="1" customHeight="1">
      <c r="A252" s="390"/>
      <c r="B252" s="390"/>
      <c r="C252" s="391"/>
      <c r="D252" s="526"/>
      <c r="E252" s="519"/>
      <c r="F252" s="526"/>
      <c r="G252" s="522"/>
      <c r="H252" s="15"/>
      <c r="I252" s="15"/>
      <c r="J252" s="15"/>
      <c r="K252" s="15"/>
      <c r="L252" s="15"/>
    </row>
    <row r="253" spans="1:12" s="33" customFormat="1" ht="13.5" hidden="1" customHeight="1">
      <c r="A253" s="396" t="s">
        <v>70</v>
      </c>
      <c r="B253" s="390" t="s">
        <v>63</v>
      </c>
      <c r="C253" s="391"/>
      <c r="D253" s="526"/>
      <c r="E253" s="518"/>
      <c r="F253" s="526"/>
      <c r="G253" s="522"/>
      <c r="H253" s="15"/>
      <c r="I253" s="15"/>
      <c r="J253" s="15"/>
      <c r="K253" s="15"/>
      <c r="L253" s="15"/>
    </row>
    <row r="254" spans="1:12" s="33" customFormat="1" ht="13.5" hidden="1" customHeight="1">
      <c r="A254" s="390"/>
      <c r="B254" s="390"/>
      <c r="C254" s="391"/>
      <c r="D254" s="526"/>
      <c r="E254" s="519"/>
      <c r="F254" s="526"/>
      <c r="G254" s="522"/>
      <c r="H254" s="15"/>
      <c r="I254" s="15"/>
      <c r="J254" s="15"/>
      <c r="K254" s="15"/>
      <c r="L254" s="15"/>
    </row>
    <row r="255" spans="1:12" s="33" customFormat="1" ht="13.5" hidden="1" customHeight="1">
      <c r="A255" s="390"/>
      <c r="B255" s="390" t="s">
        <v>64</v>
      </c>
      <c r="C255" s="391"/>
      <c r="D255" s="526"/>
      <c r="E255" s="518"/>
      <c r="F255" s="526"/>
      <c r="G255" s="522"/>
      <c r="H255" s="15"/>
      <c r="I255" s="15"/>
      <c r="J255" s="15"/>
      <c r="K255" s="15"/>
      <c r="L255" s="15"/>
    </row>
    <row r="256" spans="1:12" s="33" customFormat="1" ht="13.5" hidden="1" customHeight="1">
      <c r="A256" s="390"/>
      <c r="B256" s="390"/>
      <c r="C256" s="391"/>
      <c r="D256" s="526"/>
      <c r="E256" s="519"/>
      <c r="F256" s="526"/>
      <c r="G256" s="522"/>
      <c r="H256" s="15"/>
      <c r="I256" s="15"/>
      <c r="J256" s="15"/>
      <c r="K256" s="15"/>
      <c r="L256" s="15"/>
    </row>
    <row r="257" spans="1:12" s="33" customFormat="1" ht="13.5" hidden="1" customHeight="1">
      <c r="A257" s="396" t="s">
        <v>71</v>
      </c>
      <c r="B257" s="390" t="s">
        <v>63</v>
      </c>
      <c r="C257" s="391"/>
      <c r="D257" s="526"/>
      <c r="E257" s="518"/>
      <c r="F257" s="526"/>
      <c r="G257" s="522"/>
      <c r="H257" s="15"/>
      <c r="I257" s="15"/>
      <c r="J257" s="15"/>
      <c r="K257" s="15"/>
      <c r="L257" s="15"/>
    </row>
    <row r="258" spans="1:12" s="33" customFormat="1" ht="13.5" hidden="1" customHeight="1">
      <c r="A258" s="390"/>
      <c r="B258" s="390"/>
      <c r="C258" s="391"/>
      <c r="D258" s="526"/>
      <c r="E258" s="519"/>
      <c r="F258" s="526"/>
      <c r="G258" s="522"/>
      <c r="H258" s="15"/>
      <c r="I258" s="15"/>
      <c r="J258" s="15"/>
      <c r="K258" s="15"/>
      <c r="L258" s="15"/>
    </row>
    <row r="259" spans="1:12" s="33" customFormat="1" ht="13.5" hidden="1" customHeight="1">
      <c r="A259" s="390"/>
      <c r="B259" s="390" t="s">
        <v>64</v>
      </c>
      <c r="C259" s="391"/>
      <c r="D259" s="526"/>
      <c r="E259" s="518"/>
      <c r="F259" s="526"/>
      <c r="G259" s="522"/>
      <c r="H259" s="15"/>
      <c r="I259" s="15"/>
      <c r="J259" s="15"/>
      <c r="K259" s="15"/>
      <c r="L259" s="15"/>
    </row>
    <row r="260" spans="1:12" s="33" customFormat="1" ht="13.5" hidden="1" customHeight="1">
      <c r="A260" s="390"/>
      <c r="B260" s="390"/>
      <c r="C260" s="391"/>
      <c r="D260" s="526"/>
      <c r="E260" s="519"/>
      <c r="F260" s="526"/>
      <c r="G260" s="522"/>
      <c r="H260" s="15"/>
      <c r="I260" s="15"/>
      <c r="J260" s="15"/>
      <c r="K260" s="15"/>
      <c r="L260" s="15"/>
    </row>
    <row r="261" spans="1:12" s="33" customFormat="1" ht="14.25">
      <c r="A261" s="392" t="s">
        <v>60</v>
      </c>
      <c r="B261" s="393"/>
      <c r="C261" s="393"/>
      <c r="D261" s="529">
        <f>D222-D227-D231-D235-D239-D243-D247</f>
        <v>0</v>
      </c>
      <c r="E261" s="529">
        <f>E222-E227-E231-E235-E239-E243-E247</f>
        <v>21520</v>
      </c>
      <c r="F261" s="529">
        <f>F222-F227-F231-F235-F239-F243-F247</f>
        <v>0</v>
      </c>
      <c r="G261" s="527"/>
      <c r="H261" s="15"/>
      <c r="I261" s="15"/>
      <c r="J261" s="15"/>
      <c r="K261" s="15"/>
      <c r="L261" s="15"/>
    </row>
    <row r="262" spans="1:12" s="33" customFormat="1" ht="14.25">
      <c r="A262" s="394"/>
      <c r="B262" s="395"/>
      <c r="C262" s="395"/>
      <c r="D262" s="530"/>
      <c r="E262" s="530"/>
      <c r="F262" s="530"/>
      <c r="G262" s="390"/>
      <c r="H262" s="15"/>
      <c r="I262" s="15"/>
      <c r="J262" s="15"/>
      <c r="K262" s="15"/>
      <c r="L262" s="15"/>
    </row>
    <row r="263" spans="1:12" s="33" customFormat="1" ht="14.25">
      <c r="A263" s="373" t="s">
        <v>60</v>
      </c>
      <c r="B263" s="374"/>
      <c r="C263" s="374"/>
      <c r="D263" s="525">
        <f>SUM(D261:F262)</f>
        <v>21520</v>
      </c>
      <c r="E263" s="525"/>
      <c r="F263" s="525"/>
      <c r="G263" s="535"/>
      <c r="H263" s="15"/>
      <c r="I263" s="15"/>
      <c r="J263" s="15"/>
      <c r="K263" s="15"/>
      <c r="L263" s="15"/>
    </row>
    <row r="264" spans="1:12" s="33" customFormat="1" ht="14.25">
      <c r="A264" s="375"/>
      <c r="B264" s="376"/>
      <c r="C264" s="376"/>
      <c r="D264" s="525"/>
      <c r="E264" s="525"/>
      <c r="F264" s="525"/>
      <c r="G264" s="533"/>
      <c r="H264" s="15"/>
      <c r="I264" s="15"/>
      <c r="J264" s="15"/>
      <c r="K264" s="15"/>
      <c r="L264" s="15"/>
    </row>
    <row r="265" spans="1:12" s="33" customFormat="1" ht="18" customHeight="1">
      <c r="A265" s="373" t="s">
        <v>72</v>
      </c>
      <c r="B265" s="374"/>
      <c r="C265" s="374"/>
      <c r="D265" s="525">
        <f>D263</f>
        <v>21520</v>
      </c>
      <c r="E265" s="525"/>
      <c r="F265" s="525"/>
      <c r="G265" s="533"/>
      <c r="H265" s="15"/>
      <c r="I265" s="15"/>
      <c r="J265" s="15"/>
      <c r="K265" s="15"/>
      <c r="L265" s="15"/>
    </row>
    <row r="266" spans="1:12" s="33" customFormat="1" ht="15" thickBot="1">
      <c r="A266" s="375"/>
      <c r="B266" s="376"/>
      <c r="C266" s="376"/>
      <c r="D266" s="525"/>
      <c r="E266" s="525"/>
      <c r="F266" s="525"/>
      <c r="G266" s="534"/>
      <c r="H266" s="15"/>
      <c r="I266" s="15"/>
      <c r="J266" s="15"/>
      <c r="K266" s="15"/>
      <c r="L266" s="15"/>
    </row>
    <row r="267" spans="1:12" s="15" customFormat="1" ht="14.25"/>
    <row r="268" spans="1:12" s="33" customFormat="1" ht="38.25" customHeight="1">
      <c r="A268" s="15"/>
      <c r="B268" s="15"/>
      <c r="C268" s="15"/>
      <c r="D268" s="23" t="e">
        <f>D218+D136</f>
        <v>#REF!</v>
      </c>
      <c r="E268" s="15"/>
      <c r="F268" s="15"/>
      <c r="G268" s="15"/>
      <c r="H268" s="15"/>
      <c r="I268" s="15"/>
      <c r="J268" s="15"/>
      <c r="K268" s="15"/>
      <c r="L268" s="15"/>
    </row>
  </sheetData>
  <mergeCells count="210">
    <mergeCell ref="B21:B22"/>
    <mergeCell ref="B23:B24"/>
    <mergeCell ref="B25:B26"/>
    <mergeCell ref="B27:B28"/>
    <mergeCell ref="B29:B30"/>
    <mergeCell ref="B31:B32"/>
    <mergeCell ref="A3:A8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79:B80"/>
    <mergeCell ref="B57:B58"/>
    <mergeCell ref="B59:B60"/>
    <mergeCell ref="B61:B62"/>
    <mergeCell ref="B63:B64"/>
    <mergeCell ref="B65:B66"/>
    <mergeCell ref="B67:B68"/>
    <mergeCell ref="B88:C88"/>
    <mergeCell ref="A89:A132"/>
    <mergeCell ref="A133:C133"/>
    <mergeCell ref="A134:C135"/>
    <mergeCell ref="A136:A137"/>
    <mergeCell ref="B136:C136"/>
    <mergeCell ref="B137:C137"/>
    <mergeCell ref="B81:B82"/>
    <mergeCell ref="B83:B84"/>
    <mergeCell ref="B85:B86"/>
    <mergeCell ref="B168:C169"/>
    <mergeCell ref="B170:C171"/>
    <mergeCell ref="B172:C173"/>
    <mergeCell ref="B174:C175"/>
    <mergeCell ref="B176:C177"/>
    <mergeCell ref="B178:C179"/>
    <mergeCell ref="B156:B157"/>
    <mergeCell ref="B158:C159"/>
    <mergeCell ref="B160:C161"/>
    <mergeCell ref="B162:B163"/>
    <mergeCell ref="B164:C165"/>
    <mergeCell ref="B166:C167"/>
    <mergeCell ref="B196:C197"/>
    <mergeCell ref="B198:C199"/>
    <mergeCell ref="B200:C201"/>
    <mergeCell ref="B202:C203"/>
    <mergeCell ref="B180:B181"/>
    <mergeCell ref="B182:C183"/>
    <mergeCell ref="B184:C185"/>
    <mergeCell ref="B186:C187"/>
    <mergeCell ref="B188:C189"/>
    <mergeCell ref="B190:C191"/>
    <mergeCell ref="B216:C217"/>
    <mergeCell ref="A218:A219"/>
    <mergeCell ref="B218:C218"/>
    <mergeCell ref="B219:C219"/>
    <mergeCell ref="A222:C223"/>
    <mergeCell ref="D222:D223"/>
    <mergeCell ref="B204:C205"/>
    <mergeCell ref="B206:C207"/>
    <mergeCell ref="B208:C209"/>
    <mergeCell ref="B210:B211"/>
    <mergeCell ref="B212:C213"/>
    <mergeCell ref="B214:C215"/>
    <mergeCell ref="A138:A215"/>
    <mergeCell ref="B138:C139"/>
    <mergeCell ref="B140:C141"/>
    <mergeCell ref="B142:C143"/>
    <mergeCell ref="B144:C145"/>
    <mergeCell ref="B146:C147"/>
    <mergeCell ref="B148:C149"/>
    <mergeCell ref="B150:C151"/>
    <mergeCell ref="B152:C153"/>
    <mergeCell ref="B154:C155"/>
    <mergeCell ref="B192:C193"/>
    <mergeCell ref="B194:C195"/>
    <mergeCell ref="G225:G226"/>
    <mergeCell ref="B227:C228"/>
    <mergeCell ref="D227:D228"/>
    <mergeCell ref="E227:E228"/>
    <mergeCell ref="F227:F228"/>
    <mergeCell ref="G231:G232"/>
    <mergeCell ref="G222:G223"/>
    <mergeCell ref="A224:C224"/>
    <mergeCell ref="A225:A228"/>
    <mergeCell ref="B225:C226"/>
    <mergeCell ref="D225:D226"/>
    <mergeCell ref="E225:E226"/>
    <mergeCell ref="F225:F226"/>
    <mergeCell ref="E222:E223"/>
    <mergeCell ref="F222:F223"/>
    <mergeCell ref="G227:G228"/>
    <mergeCell ref="G229:G230"/>
    <mergeCell ref="B231:C232"/>
    <mergeCell ref="D231:D232"/>
    <mergeCell ref="E231:E232"/>
    <mergeCell ref="F231:F232"/>
    <mergeCell ref="A229:A232"/>
    <mergeCell ref="B229:C230"/>
    <mergeCell ref="D229:D230"/>
    <mergeCell ref="E229:E230"/>
    <mergeCell ref="F229:F230"/>
    <mergeCell ref="G237:G238"/>
    <mergeCell ref="G235:G236"/>
    <mergeCell ref="A237:A240"/>
    <mergeCell ref="B237:C238"/>
    <mergeCell ref="D237:D238"/>
    <mergeCell ref="E237:E238"/>
    <mergeCell ref="F237:F238"/>
    <mergeCell ref="G233:G234"/>
    <mergeCell ref="B235:C236"/>
    <mergeCell ref="D235:D236"/>
    <mergeCell ref="E235:E236"/>
    <mergeCell ref="F235:F236"/>
    <mergeCell ref="A233:A236"/>
    <mergeCell ref="B233:C234"/>
    <mergeCell ref="D233:D234"/>
    <mergeCell ref="E233:E234"/>
    <mergeCell ref="F233:F234"/>
    <mergeCell ref="G241:G242"/>
    <mergeCell ref="B243:C244"/>
    <mergeCell ref="D243:D244"/>
    <mergeCell ref="E243:E244"/>
    <mergeCell ref="F243:F244"/>
    <mergeCell ref="G239:G240"/>
    <mergeCell ref="A241:A244"/>
    <mergeCell ref="B241:C242"/>
    <mergeCell ref="D241:D242"/>
    <mergeCell ref="E241:E242"/>
    <mergeCell ref="F241:F242"/>
    <mergeCell ref="B239:C240"/>
    <mergeCell ref="D239:D240"/>
    <mergeCell ref="E239:E240"/>
    <mergeCell ref="F239:F240"/>
    <mergeCell ref="G247:G248"/>
    <mergeCell ref="G245:G246"/>
    <mergeCell ref="B247:C248"/>
    <mergeCell ref="D247:D248"/>
    <mergeCell ref="E247:E248"/>
    <mergeCell ref="F247:F248"/>
    <mergeCell ref="G243:G244"/>
    <mergeCell ref="A245:A248"/>
    <mergeCell ref="B245:C246"/>
    <mergeCell ref="D245:D246"/>
    <mergeCell ref="E245:E246"/>
    <mergeCell ref="F245:F246"/>
    <mergeCell ref="G249:G250"/>
    <mergeCell ref="B251:C252"/>
    <mergeCell ref="D251:D252"/>
    <mergeCell ref="E251:E252"/>
    <mergeCell ref="F251:F252"/>
    <mergeCell ref="A249:A252"/>
    <mergeCell ref="B249:C250"/>
    <mergeCell ref="D249:D250"/>
    <mergeCell ref="E249:E250"/>
    <mergeCell ref="F249:F250"/>
    <mergeCell ref="G255:G256"/>
    <mergeCell ref="G253:G254"/>
    <mergeCell ref="B255:C256"/>
    <mergeCell ref="D255:D256"/>
    <mergeCell ref="E255:E256"/>
    <mergeCell ref="F255:F256"/>
    <mergeCell ref="G251:G252"/>
    <mergeCell ref="A253:A256"/>
    <mergeCell ref="B253:C254"/>
    <mergeCell ref="D253:D254"/>
    <mergeCell ref="E253:E254"/>
    <mergeCell ref="F253:F254"/>
    <mergeCell ref="G257:G258"/>
    <mergeCell ref="B259:C260"/>
    <mergeCell ref="D259:D260"/>
    <mergeCell ref="E259:E260"/>
    <mergeCell ref="F259:F260"/>
    <mergeCell ref="A257:A260"/>
    <mergeCell ref="B257:C258"/>
    <mergeCell ref="D257:D258"/>
    <mergeCell ref="E257:E258"/>
    <mergeCell ref="F257:F258"/>
    <mergeCell ref="A263:C264"/>
    <mergeCell ref="D263:F264"/>
    <mergeCell ref="G263:G264"/>
    <mergeCell ref="A265:C266"/>
    <mergeCell ref="D265:F266"/>
    <mergeCell ref="G265:G266"/>
    <mergeCell ref="G261:G262"/>
    <mergeCell ref="G259:G260"/>
    <mergeCell ref="A261:C262"/>
    <mergeCell ref="D261:D262"/>
    <mergeCell ref="E261:E262"/>
    <mergeCell ref="F261:F262"/>
  </mergeCells>
  <phoneticPr fontId="28"/>
  <pageMargins left="0" right="0" top="0" bottom="0" header="0" footer="0"/>
  <pageSetup paperSize="9" scale="42" orientation="portrait" r:id="rId1"/>
  <rowBreaks count="2" manualBreakCount="2">
    <brk id="80" max="27" man="1"/>
    <brk id="157" max="2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F401-34EB-3844-8E77-EE39E708D165}">
  <sheetPr>
    <tabColor rgb="FFFF0066"/>
    <pageSetUpPr fitToPage="1"/>
  </sheetPr>
  <dimension ref="A1:AE257"/>
  <sheetViews>
    <sheetView view="pageBreakPreview" zoomScaleNormal="100" zoomScaleSheetLayoutView="100" workbookViewId="0">
      <pane xSplit="2" ySplit="2" topLeftCell="C129" activePane="bottomRight" state="frozen"/>
      <selection pane="topRight" activeCell="L44" sqref="L44"/>
      <selection pane="bottomLeft" activeCell="L44" sqref="L44"/>
      <selection pane="bottomRight" activeCell="D128" sqref="D128"/>
    </sheetView>
  </sheetViews>
  <sheetFormatPr defaultColWidth="9" defaultRowHeight="13.5"/>
  <cols>
    <col min="1" max="1" width="9" customWidth="1"/>
    <col min="2" max="2" width="25" customWidth="1"/>
    <col min="3" max="3" width="15.375" customWidth="1"/>
    <col min="4" max="4" width="15.625" customWidth="1"/>
    <col min="5" max="18" width="15.625" hidden="1" customWidth="1"/>
    <col min="19" max="19" width="19.875" hidden="1" customWidth="1"/>
    <col min="20" max="25" width="15.625" hidden="1" customWidth="1"/>
    <col min="26" max="26" width="15.375" hidden="1" customWidth="1"/>
    <col min="27" max="27" width="12.875" customWidth="1"/>
    <col min="28" max="29" width="10.625" bestFit="1" customWidth="1"/>
    <col min="30" max="30" width="11.125" bestFit="1" customWidth="1"/>
  </cols>
  <sheetData>
    <row r="1" spans="1:27" ht="36" customHeight="1">
      <c r="A1" s="1" t="s">
        <v>224</v>
      </c>
      <c r="C1" s="112" t="s">
        <v>223</v>
      </c>
      <c r="D1" s="111"/>
      <c r="E1" s="69"/>
      <c r="F1" s="69"/>
      <c r="G1" s="11"/>
      <c r="H1" s="36"/>
      <c r="I1" s="36"/>
      <c r="J1" s="11"/>
      <c r="K1" s="11"/>
      <c r="L1" s="36"/>
      <c r="M1" s="12"/>
      <c r="N1" s="11"/>
      <c r="O1" s="12"/>
      <c r="P1" s="11"/>
      <c r="Q1" s="11"/>
      <c r="R1" s="11"/>
      <c r="S1" s="12"/>
      <c r="T1" s="11"/>
      <c r="U1" s="12"/>
      <c r="V1" s="12"/>
      <c r="W1" s="12"/>
      <c r="X1" s="12"/>
      <c r="Y1" s="12"/>
      <c r="Z1" s="2"/>
    </row>
    <row r="2" spans="1:27" s="15" customFormat="1" ht="20.100000000000001" customHeight="1">
      <c r="A2" s="205"/>
      <c r="B2" s="204" t="s">
        <v>222</v>
      </c>
      <c r="C2" s="203"/>
      <c r="D2" s="91"/>
      <c r="E2" s="91"/>
      <c r="F2" s="55"/>
      <c r="G2" s="200"/>
      <c r="H2" s="55"/>
      <c r="I2" s="200"/>
      <c r="J2" s="200"/>
      <c r="K2" s="202"/>
      <c r="L2" s="200"/>
      <c r="M2" s="200"/>
      <c r="N2" s="201"/>
      <c r="O2" s="70"/>
      <c r="P2" s="200"/>
      <c r="Q2" s="200"/>
      <c r="R2" s="71"/>
      <c r="S2" s="200"/>
      <c r="T2" s="202"/>
      <c r="U2" s="200"/>
      <c r="V2" s="200"/>
      <c r="W2" s="201"/>
      <c r="X2" s="200"/>
      <c r="Y2" s="200"/>
      <c r="Z2" s="14" t="s">
        <v>2</v>
      </c>
    </row>
    <row r="3" spans="1:27" s="15" customFormat="1" ht="20.100000000000001" customHeight="1">
      <c r="A3" s="551" t="s">
        <v>3</v>
      </c>
      <c r="B3" s="603" t="s">
        <v>221</v>
      </c>
      <c r="C3" s="191" t="s">
        <v>199</v>
      </c>
      <c r="D3" s="197"/>
      <c r="E3" s="196"/>
      <c r="F3" s="196"/>
      <c r="G3" s="196"/>
      <c r="H3" s="196"/>
      <c r="I3" s="196"/>
      <c r="J3" s="196"/>
      <c r="K3" s="196"/>
      <c r="L3" s="199"/>
      <c r="M3" s="199"/>
      <c r="N3" s="199"/>
      <c r="O3" s="196"/>
      <c r="P3" s="196"/>
      <c r="Q3" s="196"/>
      <c r="R3" s="196"/>
      <c r="S3" s="196"/>
      <c r="T3" s="198"/>
      <c r="U3" s="196"/>
      <c r="V3" s="196"/>
      <c r="W3" s="197"/>
      <c r="X3" s="196"/>
      <c r="Y3" s="196"/>
      <c r="Z3" s="211">
        <f>SUM(D3)</f>
        <v>0</v>
      </c>
    </row>
    <row r="4" spans="1:27" s="15" customFormat="1" ht="20.100000000000001" customHeight="1">
      <c r="A4" s="551"/>
      <c r="B4" s="603"/>
      <c r="C4" s="191" t="s">
        <v>204</v>
      </c>
      <c r="D4" s="192">
        <f>D3*1.1</f>
        <v>0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59"/>
      <c r="U4" s="140"/>
      <c r="V4" s="140"/>
      <c r="W4" s="158">
        <f>W3*1.1</f>
        <v>0</v>
      </c>
      <c r="X4" s="140">
        <f>X3*1.1</f>
        <v>0</v>
      </c>
      <c r="Y4" s="140"/>
      <c r="Z4" s="17" t="e">
        <f>SUM(#REF!)</f>
        <v>#REF!</v>
      </c>
    </row>
    <row r="5" spans="1:27" s="15" customFormat="1" ht="24.95" customHeight="1">
      <c r="A5" s="551"/>
      <c r="B5" s="464" t="s">
        <v>220</v>
      </c>
      <c r="C5" s="191" t="s">
        <v>199</v>
      </c>
      <c r="D5" s="195">
        <f>D3/0.95</f>
        <v>0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4"/>
      <c r="V5" s="193"/>
      <c r="W5" s="193"/>
      <c r="X5" s="193"/>
      <c r="Y5" s="193"/>
      <c r="Z5" s="17" t="e">
        <f>SUM(#REF!)</f>
        <v>#REF!</v>
      </c>
    </row>
    <row r="6" spans="1:27" s="15" customFormat="1" ht="20.100000000000001" customHeight="1">
      <c r="A6" s="551"/>
      <c r="B6" s="464"/>
      <c r="C6" s="191" t="s">
        <v>204</v>
      </c>
      <c r="D6" s="192">
        <f>D5*1.1</f>
        <v>0</v>
      </c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73"/>
      <c r="V6" s="140"/>
      <c r="W6" s="140">
        <f>W5*1.1</f>
        <v>0</v>
      </c>
      <c r="X6" s="140">
        <f>X5*1.1</f>
        <v>0</v>
      </c>
      <c r="Y6" s="140"/>
      <c r="Z6" s="17" t="e">
        <f>SUM(#REF!)</f>
        <v>#REF!</v>
      </c>
    </row>
    <row r="7" spans="1:27" s="15" customFormat="1" ht="20.100000000000001" customHeight="1">
      <c r="A7" s="551"/>
      <c r="B7" s="464" t="s">
        <v>219</v>
      </c>
      <c r="C7" s="187" t="s">
        <v>199</v>
      </c>
      <c r="D7" s="192">
        <v>234960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74"/>
      <c r="V7" s="134"/>
      <c r="W7" s="134"/>
      <c r="X7" s="134"/>
      <c r="Y7" s="134"/>
      <c r="Z7" s="17" t="e">
        <f>SUM(#REF!)</f>
        <v>#REF!</v>
      </c>
      <c r="AA7" s="34"/>
    </row>
    <row r="8" spans="1:27" s="15" customFormat="1" ht="20.100000000000001" customHeight="1">
      <c r="A8" s="551"/>
      <c r="B8" s="464"/>
      <c r="C8" s="187" t="s">
        <v>204</v>
      </c>
      <c r="D8" s="192">
        <f>D7*1.1</f>
        <v>258456.00000000003</v>
      </c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73"/>
      <c r="V8" s="56">
        <f>V7*1.1</f>
        <v>0</v>
      </c>
      <c r="W8" s="140">
        <f>W7*1.1</f>
        <v>0</v>
      </c>
      <c r="X8" s="140">
        <f>X7*1.1</f>
        <v>0</v>
      </c>
      <c r="Y8" s="140"/>
      <c r="Z8" s="17" t="e">
        <f>SUM(#REF!)</f>
        <v>#REF!</v>
      </c>
    </row>
    <row r="9" spans="1:27" s="15" customFormat="1" ht="20.100000000000001" customHeight="1">
      <c r="A9" s="551"/>
      <c r="B9" s="603" t="s">
        <v>218</v>
      </c>
      <c r="C9" s="191" t="s">
        <v>199</v>
      </c>
      <c r="D9" s="192">
        <v>91625</v>
      </c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74"/>
      <c r="V9" s="134"/>
      <c r="W9" s="134"/>
      <c r="X9" s="134"/>
      <c r="Y9" s="134"/>
      <c r="Z9" s="17" t="e">
        <f>SUM(#REF!)</f>
        <v>#REF!</v>
      </c>
      <c r="AA9" s="34"/>
    </row>
    <row r="10" spans="1:27" s="15" customFormat="1" ht="20.100000000000001" customHeight="1">
      <c r="A10" s="551"/>
      <c r="B10" s="603"/>
      <c r="C10" s="191" t="s">
        <v>204</v>
      </c>
      <c r="D10" s="192">
        <f>D9*1.1</f>
        <v>100787.50000000001</v>
      </c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40"/>
      <c r="U10" s="73"/>
      <c r="V10" s="56">
        <f>V9*1.1</f>
        <v>0</v>
      </c>
      <c r="W10" s="140">
        <f>W9*1.1</f>
        <v>0</v>
      </c>
      <c r="X10" s="140">
        <f>X9*1.1</f>
        <v>0</v>
      </c>
      <c r="Y10" s="140"/>
      <c r="Z10" s="17" t="e">
        <f>SUM(#REF!)</f>
        <v>#REF!</v>
      </c>
    </row>
    <row r="11" spans="1:27" s="15" customFormat="1" ht="20.100000000000001" customHeight="1">
      <c r="A11" s="551"/>
      <c r="B11" s="464" t="s">
        <v>217</v>
      </c>
      <c r="C11" s="191" t="s">
        <v>199</v>
      </c>
      <c r="D11" s="209">
        <f>D9/0.95</f>
        <v>96447.368421052641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74"/>
      <c r="V11" s="58"/>
      <c r="W11" s="134"/>
      <c r="X11" s="134"/>
      <c r="Y11" s="134"/>
      <c r="Z11" s="17" t="e">
        <f>SUM(#REF!)</f>
        <v>#REF!</v>
      </c>
    </row>
    <row r="12" spans="1:27" s="15" customFormat="1" ht="20.100000000000001" customHeight="1">
      <c r="A12" s="551"/>
      <c r="B12" s="464"/>
      <c r="C12" s="191" t="s">
        <v>204</v>
      </c>
      <c r="D12" s="210">
        <f>D11*1.1</f>
        <v>106092.10526315791</v>
      </c>
      <c r="E12" s="14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75"/>
      <c r="V12" s="59">
        <f>V11*1.1</f>
        <v>0</v>
      </c>
      <c r="W12" s="126">
        <f>W11*1.1</f>
        <v>0</v>
      </c>
      <c r="X12" s="126">
        <f>X11*1.1</f>
        <v>0</v>
      </c>
      <c r="Y12" s="126"/>
      <c r="Z12" s="17" t="e">
        <f>SUM(#REF!)</f>
        <v>#REF!</v>
      </c>
    </row>
    <row r="13" spans="1:27" s="15" customFormat="1" ht="20.100000000000001" customHeight="1">
      <c r="A13" s="551"/>
      <c r="B13" s="464" t="s">
        <v>216</v>
      </c>
      <c r="C13" s="191" t="s">
        <v>199</v>
      </c>
      <c r="D13" s="14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75"/>
      <c r="V13" s="126"/>
      <c r="W13" s="126"/>
      <c r="X13" s="126"/>
      <c r="Y13" s="126"/>
      <c r="Z13" s="17" t="e">
        <f>SUM(#REF!)</f>
        <v>#REF!</v>
      </c>
    </row>
    <row r="14" spans="1:27" s="15" customFormat="1" ht="20.100000000000001" customHeight="1">
      <c r="A14" s="551"/>
      <c r="B14" s="464"/>
      <c r="C14" s="191" t="s">
        <v>204</v>
      </c>
      <c r="D14" s="146">
        <f>D13*1.1</f>
        <v>0</v>
      </c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>
        <f>V13*1.1</f>
        <v>0</v>
      </c>
      <c r="W14" s="126">
        <f>W13*1.1</f>
        <v>0</v>
      </c>
      <c r="X14" s="126">
        <f>X13*1.1</f>
        <v>0</v>
      </c>
      <c r="Y14" s="126"/>
      <c r="Z14" s="17" t="e">
        <f>SUM(#REF!)</f>
        <v>#REF!</v>
      </c>
    </row>
    <row r="15" spans="1:27" s="15" customFormat="1" ht="20.100000000000001" customHeight="1">
      <c r="A15" s="551"/>
      <c r="B15" s="464" t="s">
        <v>187</v>
      </c>
      <c r="C15" s="187" t="s">
        <v>199</v>
      </c>
      <c r="D15" s="158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73"/>
      <c r="V15" s="140"/>
      <c r="W15" s="140"/>
      <c r="X15" s="140"/>
      <c r="Y15" s="140"/>
      <c r="Z15" s="17" t="e">
        <f>SUM(#REF!)</f>
        <v>#REF!</v>
      </c>
    </row>
    <row r="16" spans="1:27" s="15" customFormat="1" ht="20.100000000000001" customHeight="1">
      <c r="A16" s="551"/>
      <c r="B16" s="464"/>
      <c r="C16" s="187" t="s">
        <v>204</v>
      </c>
      <c r="D16" s="158">
        <f>D15*1.1</f>
        <v>0</v>
      </c>
      <c r="E16" s="73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73"/>
      <c r="V16" s="140"/>
      <c r="W16" s="140">
        <f>W15*1.1</f>
        <v>0</v>
      </c>
      <c r="X16" s="140"/>
      <c r="Y16" s="140"/>
      <c r="Z16" s="17" t="e">
        <f>SUM(#REF!)</f>
        <v>#REF!</v>
      </c>
    </row>
    <row r="17" spans="1:27" s="15" customFormat="1" ht="20.100000000000001" customHeight="1">
      <c r="A17" s="551"/>
      <c r="B17" s="604" t="s">
        <v>215</v>
      </c>
      <c r="C17" s="187" t="s">
        <v>199</v>
      </c>
      <c r="D17" s="190"/>
      <c r="E17" s="118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35"/>
      <c r="S17" s="140"/>
      <c r="T17" s="140"/>
      <c r="U17" s="73"/>
      <c r="V17" s="140"/>
      <c r="W17" s="140"/>
      <c r="X17" s="140"/>
      <c r="Y17" s="140"/>
      <c r="Z17" s="17" t="e">
        <f>SUM(#REF!)</f>
        <v>#REF!</v>
      </c>
    </row>
    <row r="18" spans="1:27" s="15" customFormat="1" ht="20.100000000000001" customHeight="1">
      <c r="A18" s="551"/>
      <c r="B18" s="604"/>
      <c r="C18" s="187" t="s">
        <v>204</v>
      </c>
      <c r="D18" s="158">
        <f>D17*1.1</f>
        <v>0</v>
      </c>
      <c r="E18" s="73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83"/>
      <c r="S18" s="140"/>
      <c r="T18" s="140"/>
      <c r="U18" s="73"/>
      <c r="V18" s="140"/>
      <c r="W18" s="140">
        <f>W17*1.1</f>
        <v>0</v>
      </c>
      <c r="X18" s="140">
        <f>X17*1.1</f>
        <v>0</v>
      </c>
      <c r="Y18" s="140"/>
      <c r="Z18" s="17" t="e">
        <f>SUM(#REF!)</f>
        <v>#REF!</v>
      </c>
      <c r="AA18" s="23"/>
    </row>
    <row r="19" spans="1:27" s="15" customFormat="1" ht="20.100000000000001" customHeight="1">
      <c r="A19" s="551"/>
      <c r="B19" s="464" t="s">
        <v>214</v>
      </c>
      <c r="C19" s="187" t="s">
        <v>199</v>
      </c>
      <c r="D19" s="158"/>
      <c r="E19" s="73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73"/>
      <c r="V19" s="140"/>
      <c r="W19" s="140"/>
      <c r="X19" s="140"/>
      <c r="Y19" s="140"/>
      <c r="Z19" s="17" t="e">
        <f>SUM(#REF!)</f>
        <v>#REF!</v>
      </c>
    </row>
    <row r="20" spans="1:27" s="15" customFormat="1" ht="20.100000000000001" customHeight="1">
      <c r="A20" s="551"/>
      <c r="B20" s="464"/>
      <c r="C20" s="187" t="s">
        <v>204</v>
      </c>
      <c r="D20" s="158">
        <f>D19*1.1</f>
        <v>0</v>
      </c>
      <c r="E20" s="117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73"/>
      <c r="V20" s="140"/>
      <c r="W20" s="140">
        <f>W19*1.1</f>
        <v>0</v>
      </c>
      <c r="X20" s="140">
        <f>X19*1.1</f>
        <v>0</v>
      </c>
      <c r="Y20" s="140"/>
      <c r="Z20" s="17" t="e">
        <f>SUM(#REF!)</f>
        <v>#REF!</v>
      </c>
    </row>
    <row r="21" spans="1:27" s="15" customFormat="1" ht="20.100000000000001" customHeight="1">
      <c r="A21" s="551"/>
      <c r="B21" s="604" t="s">
        <v>185</v>
      </c>
      <c r="C21" s="187" t="s">
        <v>199</v>
      </c>
      <c r="D21" s="158"/>
      <c r="E21" s="73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73"/>
      <c r="V21" s="140"/>
      <c r="W21" s="140"/>
      <c r="X21" s="140"/>
      <c r="Y21" s="140"/>
      <c r="Z21" s="17" t="e">
        <f>SUM(#REF!)</f>
        <v>#REF!</v>
      </c>
    </row>
    <row r="22" spans="1:27" s="15" customFormat="1" ht="20.100000000000001" customHeight="1">
      <c r="A22" s="551"/>
      <c r="B22" s="604"/>
      <c r="C22" s="187" t="s">
        <v>204</v>
      </c>
      <c r="D22" s="146">
        <f>D21*1.1</f>
        <v>0</v>
      </c>
      <c r="E22" s="75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75"/>
      <c r="V22" s="126"/>
      <c r="W22" s="126">
        <f>W21*1.1</f>
        <v>0</v>
      </c>
      <c r="X22" s="126"/>
      <c r="Y22" s="126"/>
      <c r="Z22" s="17" t="e">
        <f>SUM(#REF!)</f>
        <v>#REF!</v>
      </c>
    </row>
    <row r="23" spans="1:27" s="15" customFormat="1" ht="20.100000000000001" customHeight="1">
      <c r="A23" s="551"/>
      <c r="B23" s="464" t="s">
        <v>213</v>
      </c>
      <c r="C23" s="187" t="s">
        <v>199</v>
      </c>
      <c r="D23" s="158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73"/>
      <c r="V23" s="140"/>
      <c r="W23" s="140"/>
      <c r="X23" s="140"/>
      <c r="Y23" s="140"/>
      <c r="Z23" s="17" t="e">
        <f>SUM(#REF!)</f>
        <v>#REF!</v>
      </c>
    </row>
    <row r="24" spans="1:27" s="15" customFormat="1" ht="20.100000000000001" customHeight="1">
      <c r="A24" s="551"/>
      <c r="B24" s="464"/>
      <c r="C24" s="187" t="s">
        <v>204</v>
      </c>
      <c r="D24" s="158">
        <f>D23*1.1</f>
        <v>0</v>
      </c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73"/>
      <c r="V24" s="140">
        <f>V23*1.1</f>
        <v>0</v>
      </c>
      <c r="W24" s="140">
        <f>W23*1.1</f>
        <v>0</v>
      </c>
      <c r="X24" s="140">
        <f>X23*1.1</f>
        <v>0</v>
      </c>
      <c r="Y24" s="140">
        <f>Y23*1.1</f>
        <v>0</v>
      </c>
      <c r="Z24" s="17" t="e">
        <f>SUM(#REF!)</f>
        <v>#REF!</v>
      </c>
    </row>
    <row r="25" spans="1:27" s="15" customFormat="1" ht="20.100000000000001" customHeight="1">
      <c r="A25" s="551"/>
      <c r="B25" s="464" t="s">
        <v>212</v>
      </c>
      <c r="C25" s="187" t="s">
        <v>199</v>
      </c>
      <c r="D25" s="158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73"/>
      <c r="V25" s="140"/>
      <c r="W25" s="140"/>
      <c r="X25" s="140"/>
      <c r="Y25" s="140"/>
      <c r="Z25" s="17" t="e">
        <f>SUM(#REF!)</f>
        <v>#REF!</v>
      </c>
    </row>
    <row r="26" spans="1:27" s="15" customFormat="1" ht="20.100000000000001" customHeight="1">
      <c r="A26" s="551"/>
      <c r="B26" s="464"/>
      <c r="C26" s="187" t="s">
        <v>204</v>
      </c>
      <c r="D26" s="158">
        <f>D25*1.1</f>
        <v>0</v>
      </c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73"/>
      <c r="V26" s="140">
        <f>V25*1.1</f>
        <v>0</v>
      </c>
      <c r="W26" s="140">
        <f>W25*1.1</f>
        <v>0</v>
      </c>
      <c r="X26" s="140">
        <f>X25*1.1</f>
        <v>0</v>
      </c>
      <c r="Y26" s="140">
        <f>Y25*1.1</f>
        <v>0</v>
      </c>
      <c r="Z26" s="17" t="e">
        <f>SUM(#REF!)</f>
        <v>#REF!</v>
      </c>
    </row>
    <row r="27" spans="1:27" s="15" customFormat="1" ht="20.100000000000001" customHeight="1">
      <c r="A27" s="551"/>
      <c r="B27" s="464" t="s">
        <v>211</v>
      </c>
      <c r="C27" s="187" t="s">
        <v>199</v>
      </c>
      <c r="D27" s="158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35"/>
      <c r="T27" s="140"/>
      <c r="U27" s="73"/>
      <c r="V27" s="140"/>
      <c r="W27" s="140"/>
      <c r="X27" s="140"/>
      <c r="Y27" s="140"/>
      <c r="Z27" s="17" t="e">
        <f>SUM(#REF!)</f>
        <v>#REF!</v>
      </c>
    </row>
    <row r="28" spans="1:27" s="15" customFormat="1" ht="20.100000000000001" customHeight="1">
      <c r="A28" s="551"/>
      <c r="B28" s="464"/>
      <c r="C28" s="187" t="s">
        <v>204</v>
      </c>
      <c r="D28" s="158">
        <f>D27*1.1</f>
        <v>0</v>
      </c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83"/>
      <c r="T28" s="140"/>
      <c r="U28" s="73"/>
      <c r="V28" s="140">
        <f>V27*1.1</f>
        <v>0</v>
      </c>
      <c r="W28" s="140">
        <f>W27*1.1</f>
        <v>0</v>
      </c>
      <c r="X28" s="140">
        <f>X27*1.1</f>
        <v>0</v>
      </c>
      <c r="Y28" s="140">
        <f>Y27*1.1</f>
        <v>0</v>
      </c>
      <c r="Z28" s="17" t="e">
        <f>SUM(#REF!)</f>
        <v>#REF!</v>
      </c>
    </row>
    <row r="29" spans="1:27" s="15" customFormat="1" ht="20.100000000000001" customHeight="1">
      <c r="A29" s="551"/>
      <c r="B29" s="464" t="s">
        <v>210</v>
      </c>
      <c r="C29" s="187" t="s">
        <v>199</v>
      </c>
      <c r="D29" s="158">
        <v>55680</v>
      </c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7" t="e">
        <f>SUM(#REF!)</f>
        <v>#REF!</v>
      </c>
      <c r="AA29" s="43"/>
    </row>
    <row r="30" spans="1:27" s="15" customFormat="1" ht="20.100000000000001" customHeight="1">
      <c r="A30" s="551"/>
      <c r="B30" s="464"/>
      <c r="C30" s="187" t="s">
        <v>204</v>
      </c>
      <c r="D30" s="158">
        <f>D29*1.1</f>
        <v>61248.000000000007</v>
      </c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>
        <f>V29*1.1</f>
        <v>0</v>
      </c>
      <c r="W30" s="140">
        <f>W29*1.1</f>
        <v>0</v>
      </c>
      <c r="X30" s="140">
        <f>X29*1.1</f>
        <v>0</v>
      </c>
      <c r="Y30" s="140">
        <f>Y29*1.1</f>
        <v>0</v>
      </c>
      <c r="Z30" s="17" t="e">
        <f>SUM(#REF!)</f>
        <v>#REF!</v>
      </c>
    </row>
    <row r="31" spans="1:27" s="15" customFormat="1" ht="20.100000000000001" customHeight="1">
      <c r="A31" s="551"/>
      <c r="B31" s="464" t="s">
        <v>209</v>
      </c>
      <c r="C31" s="187" t="s">
        <v>199</v>
      </c>
      <c r="D31" s="158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7"/>
    </row>
    <row r="32" spans="1:27" s="15" customFormat="1" ht="20.100000000000001" customHeight="1">
      <c r="A32" s="551"/>
      <c r="B32" s="464"/>
      <c r="C32" s="187" t="s">
        <v>204</v>
      </c>
      <c r="D32" s="158">
        <f>D31*1.1</f>
        <v>0</v>
      </c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7"/>
    </row>
    <row r="33" spans="1:26" s="15" customFormat="1" ht="20.100000000000001" customHeight="1">
      <c r="A33" s="551"/>
      <c r="B33" s="464" t="s">
        <v>208</v>
      </c>
      <c r="C33" s="187" t="s">
        <v>199</v>
      </c>
      <c r="D33" s="158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73"/>
      <c r="V33" s="140"/>
      <c r="W33" s="140"/>
      <c r="X33" s="140"/>
      <c r="Y33" s="140"/>
      <c r="Z33" s="17" t="e">
        <f>SUM(#REF!)</f>
        <v>#REF!</v>
      </c>
    </row>
    <row r="34" spans="1:26" s="15" customFormat="1" ht="20.100000000000001" customHeight="1">
      <c r="A34" s="551"/>
      <c r="B34" s="464"/>
      <c r="C34" s="187" t="s">
        <v>204</v>
      </c>
      <c r="D34" s="158">
        <f>D33*1.1</f>
        <v>0</v>
      </c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73"/>
      <c r="V34" s="140"/>
      <c r="W34" s="140"/>
      <c r="X34" s="140"/>
      <c r="Y34" s="140"/>
      <c r="Z34" s="17" t="e">
        <f>SUM(#REF!)</f>
        <v>#REF!</v>
      </c>
    </row>
    <row r="35" spans="1:26" s="15" customFormat="1" ht="20.100000000000001" customHeight="1">
      <c r="A35" s="551"/>
      <c r="B35" s="464" t="s">
        <v>207</v>
      </c>
      <c r="C35" s="187" t="s">
        <v>199</v>
      </c>
      <c r="D35" s="158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73"/>
      <c r="V35" s="140"/>
      <c r="W35" s="140"/>
      <c r="X35" s="140"/>
      <c r="Y35" s="140"/>
      <c r="Z35" s="17" t="e">
        <f>SUM(#REF!)</f>
        <v>#REF!</v>
      </c>
    </row>
    <row r="36" spans="1:26" s="15" customFormat="1" ht="20.100000000000001" customHeight="1">
      <c r="A36" s="551"/>
      <c r="B36" s="464"/>
      <c r="C36" s="187" t="s">
        <v>204</v>
      </c>
      <c r="D36" s="158">
        <f>D35*1.1</f>
        <v>0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73"/>
      <c r="V36" s="140">
        <f>V35*1.1</f>
        <v>0</v>
      </c>
      <c r="W36" s="140">
        <f>W35*1.1</f>
        <v>0</v>
      </c>
      <c r="X36" s="140">
        <f>X35*1.1</f>
        <v>0</v>
      </c>
      <c r="Y36" s="140">
        <f>Y35*1.1</f>
        <v>0</v>
      </c>
      <c r="Z36" s="17" t="e">
        <f>SUM(#REF!)</f>
        <v>#REF!</v>
      </c>
    </row>
    <row r="37" spans="1:26" s="15" customFormat="1" ht="20.100000000000001" customHeight="1">
      <c r="A37" s="551"/>
      <c r="B37" s="464" t="s">
        <v>206</v>
      </c>
      <c r="C37" s="187" t="s">
        <v>199</v>
      </c>
      <c r="D37" s="158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7" t="e">
        <f>SUM(#REF!)</f>
        <v>#REF!</v>
      </c>
    </row>
    <row r="38" spans="1:26" s="15" customFormat="1" ht="20.100000000000001" customHeight="1">
      <c r="A38" s="551"/>
      <c r="B38" s="464"/>
      <c r="C38" s="187" t="s">
        <v>204</v>
      </c>
      <c r="D38" s="158">
        <f>D37*1.1</f>
        <v>0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>
        <f>W37*1.1</f>
        <v>0</v>
      </c>
      <c r="X38" s="140">
        <f>X37*1.1</f>
        <v>0</v>
      </c>
      <c r="Y38" s="140"/>
      <c r="Z38" s="17" t="e">
        <f>SUM(#REF!)</f>
        <v>#REF!</v>
      </c>
    </row>
    <row r="39" spans="1:26" s="15" customFormat="1" ht="20.100000000000001" customHeight="1">
      <c r="A39" s="551"/>
      <c r="B39" s="464" t="s">
        <v>25</v>
      </c>
      <c r="C39" s="187" t="s">
        <v>199</v>
      </c>
      <c r="D39" s="158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7" t="e">
        <f>SUM(#REF!)</f>
        <v>#REF!</v>
      </c>
    </row>
    <row r="40" spans="1:26" s="15" customFormat="1" ht="20.100000000000001" customHeight="1">
      <c r="A40" s="551"/>
      <c r="B40" s="464"/>
      <c r="C40" s="187" t="s">
        <v>204</v>
      </c>
      <c r="D40" s="158">
        <f>D39*1.1</f>
        <v>0</v>
      </c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>
        <f>V39*1.1</f>
        <v>0</v>
      </c>
      <c r="W40" s="140">
        <f>W39*1.1</f>
        <v>0</v>
      </c>
      <c r="X40" s="140">
        <f>X39*1.1</f>
        <v>0</v>
      </c>
      <c r="Y40" s="140">
        <f>Y39*1.1</f>
        <v>0</v>
      </c>
      <c r="Z40" s="17" t="e">
        <f>SUM(#REF!)</f>
        <v>#REF!</v>
      </c>
    </row>
    <row r="41" spans="1:26" s="15" customFormat="1" ht="20.100000000000001" customHeight="1">
      <c r="A41" s="551"/>
      <c r="B41" s="464" t="s">
        <v>205</v>
      </c>
      <c r="C41" s="187" t="s">
        <v>199</v>
      </c>
      <c r="D41" s="158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35"/>
      <c r="S41" s="140"/>
      <c r="T41" s="140"/>
      <c r="U41" s="140"/>
      <c r="V41" s="140"/>
      <c r="W41" s="140"/>
      <c r="X41" s="140"/>
      <c r="Y41" s="140"/>
      <c r="Z41" s="17" t="e">
        <f>SUM(#REF!)</f>
        <v>#REF!</v>
      </c>
    </row>
    <row r="42" spans="1:26" s="15" customFormat="1" ht="20.100000000000001" customHeight="1">
      <c r="A42" s="551"/>
      <c r="B42" s="464"/>
      <c r="C42" s="187" t="s">
        <v>204</v>
      </c>
      <c r="D42" s="158">
        <f>D41*1.1</f>
        <v>0</v>
      </c>
      <c r="E42" s="73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>
        <f>V41*1.1</f>
        <v>0</v>
      </c>
      <c r="W42" s="140">
        <f>W41*1.1</f>
        <v>0</v>
      </c>
      <c r="X42" s="140">
        <f>X41*1.1</f>
        <v>0</v>
      </c>
      <c r="Y42" s="140">
        <f>Y41*1.1</f>
        <v>0</v>
      </c>
      <c r="Z42" s="17" t="e">
        <f>SUM(#REF!)</f>
        <v>#REF!</v>
      </c>
    </row>
    <row r="43" spans="1:26" s="15" customFormat="1" ht="20.100000000000001" customHeight="1">
      <c r="A43" s="551"/>
      <c r="B43" s="464" t="s">
        <v>176</v>
      </c>
      <c r="C43" s="187" t="s">
        <v>199</v>
      </c>
      <c r="D43" s="158"/>
      <c r="E43" s="73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7" t="e">
        <f>SUM(#REF!)</f>
        <v>#REF!</v>
      </c>
    </row>
    <row r="44" spans="1:26" s="15" customFormat="1" ht="20.100000000000001" customHeight="1">
      <c r="A44" s="551"/>
      <c r="B44" s="464"/>
      <c r="C44" s="187" t="s">
        <v>204</v>
      </c>
      <c r="D44" s="158">
        <f>D43*1.1</f>
        <v>0</v>
      </c>
      <c r="E44" s="117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7" t="e">
        <f>SUM(#REF!)</f>
        <v>#REF!</v>
      </c>
    </row>
    <row r="45" spans="1:26" s="15" customFormat="1" ht="20.100000000000001" customHeight="1">
      <c r="A45" s="551"/>
      <c r="B45" s="464" t="s">
        <v>127</v>
      </c>
      <c r="C45" s="187" t="s">
        <v>199</v>
      </c>
      <c r="D45" s="158">
        <v>56880</v>
      </c>
      <c r="E45" s="73"/>
      <c r="F45" s="140"/>
      <c r="G45" s="140"/>
      <c r="H45" s="140"/>
      <c r="I45" s="140"/>
      <c r="J45" s="140"/>
      <c r="K45" s="140"/>
      <c r="L45" s="161"/>
      <c r="M45" s="161"/>
      <c r="N45" s="161"/>
      <c r="O45" s="140"/>
      <c r="P45" s="140"/>
      <c r="Q45" s="140"/>
      <c r="R45" s="140"/>
      <c r="S45" s="140"/>
      <c r="T45" s="140"/>
      <c r="U45" s="73"/>
      <c r="V45" s="140"/>
      <c r="W45" s="140"/>
      <c r="X45" s="140"/>
      <c r="Y45" s="140"/>
      <c r="Z45" s="17" t="e">
        <f>SUM(#REF!)</f>
        <v>#REF!</v>
      </c>
    </row>
    <row r="46" spans="1:26" s="15" customFormat="1" ht="20.100000000000001" customHeight="1">
      <c r="A46" s="551"/>
      <c r="B46" s="464"/>
      <c r="C46" s="187" t="s">
        <v>204</v>
      </c>
      <c r="D46" s="158">
        <f>D45*1.1</f>
        <v>62568.000000000007</v>
      </c>
      <c r="E46" s="73"/>
      <c r="F46" s="140"/>
      <c r="G46" s="140"/>
      <c r="H46" s="140"/>
      <c r="I46" s="140"/>
      <c r="J46" s="140"/>
      <c r="K46" s="159"/>
      <c r="L46" s="140"/>
      <c r="M46" s="140"/>
      <c r="N46" s="140"/>
      <c r="O46" s="140"/>
      <c r="P46" s="140"/>
      <c r="Q46" s="140"/>
      <c r="R46" s="140"/>
      <c r="S46" s="140"/>
      <c r="T46" s="140"/>
      <c r="U46" s="73"/>
      <c r="V46" s="140">
        <f>V45*1.1</f>
        <v>0</v>
      </c>
      <c r="W46" s="140">
        <f>W45*1.1</f>
        <v>0</v>
      </c>
      <c r="X46" s="140">
        <f>X45*1.1</f>
        <v>0</v>
      </c>
      <c r="Y46" s="140">
        <f>Y45*1.1</f>
        <v>0</v>
      </c>
      <c r="Z46" s="17" t="e">
        <f>SUM(#REF!)</f>
        <v>#REF!</v>
      </c>
    </row>
    <row r="47" spans="1:26" s="15" customFormat="1" ht="20.100000000000001" customHeight="1">
      <c r="A47" s="551"/>
      <c r="B47" s="464" t="s">
        <v>105</v>
      </c>
      <c r="C47" s="187" t="s">
        <v>199</v>
      </c>
      <c r="D47" s="158"/>
      <c r="E47" s="140"/>
      <c r="F47" s="140"/>
      <c r="G47" s="140"/>
      <c r="H47" s="140"/>
      <c r="I47" s="140"/>
      <c r="J47" s="140"/>
      <c r="K47" s="159"/>
      <c r="L47" s="140"/>
      <c r="M47" s="140"/>
      <c r="N47" s="158"/>
      <c r="O47" s="158"/>
      <c r="P47" s="140"/>
      <c r="Q47" s="140"/>
      <c r="R47" s="140"/>
      <c r="S47" s="140"/>
      <c r="T47" s="140"/>
      <c r="U47" s="73"/>
      <c r="V47" s="140"/>
      <c r="W47" s="140"/>
      <c r="X47" s="140"/>
      <c r="Y47" s="140"/>
      <c r="Z47" s="17" t="e">
        <f>SUM(#REF!)</f>
        <v>#REF!</v>
      </c>
    </row>
    <row r="48" spans="1:26" s="15" customFormat="1" ht="20.100000000000001" customHeight="1">
      <c r="A48" s="551"/>
      <c r="B48" s="464"/>
      <c r="C48" s="187" t="s">
        <v>204</v>
      </c>
      <c r="D48" s="184">
        <f>D47*1.1</f>
        <v>0</v>
      </c>
      <c r="E48" s="161"/>
      <c r="F48" s="140"/>
      <c r="G48" s="140"/>
      <c r="H48" s="140"/>
      <c r="I48" s="140"/>
      <c r="J48" s="140"/>
      <c r="K48" s="159"/>
      <c r="L48" s="140"/>
      <c r="M48" s="140"/>
      <c r="N48" s="158"/>
      <c r="O48" s="158"/>
      <c r="P48" s="140"/>
      <c r="Q48" s="140"/>
      <c r="R48" s="140"/>
      <c r="S48" s="140"/>
      <c r="T48" s="140"/>
      <c r="U48" s="73"/>
      <c r="V48" s="140"/>
      <c r="W48" s="140"/>
      <c r="X48" s="140"/>
      <c r="Y48" s="140"/>
      <c r="Z48" s="17"/>
    </row>
    <row r="49" spans="1:26" s="15" customFormat="1" ht="20.100000000000001" customHeight="1">
      <c r="A49" s="551"/>
      <c r="B49" s="464" t="s">
        <v>106</v>
      </c>
      <c r="C49" s="187" t="s">
        <v>199</v>
      </c>
      <c r="D49" s="140"/>
      <c r="E49" s="140"/>
      <c r="F49" s="158"/>
      <c r="G49" s="140"/>
      <c r="H49" s="140"/>
      <c r="I49" s="140"/>
      <c r="J49" s="140"/>
      <c r="K49" s="159"/>
      <c r="L49" s="140"/>
      <c r="M49" s="140"/>
      <c r="N49" s="158"/>
      <c r="O49" s="158"/>
      <c r="P49" s="140"/>
      <c r="Q49" s="140"/>
      <c r="R49" s="140"/>
      <c r="S49" s="140"/>
      <c r="T49" s="140"/>
      <c r="U49" s="73"/>
      <c r="V49" s="140">
        <f>V47*1.1</f>
        <v>0</v>
      </c>
      <c r="W49" s="140">
        <f>W47*1.1</f>
        <v>0</v>
      </c>
      <c r="X49" s="140">
        <f>X47*1.1</f>
        <v>0</v>
      </c>
      <c r="Y49" s="140">
        <f>Y47*1.1</f>
        <v>0</v>
      </c>
      <c r="Z49" s="17" t="e">
        <f>SUM(#REF!)</f>
        <v>#REF!</v>
      </c>
    </row>
    <row r="50" spans="1:26" s="15" customFormat="1" ht="20.100000000000001" customHeight="1">
      <c r="A50" s="551"/>
      <c r="B50" s="464"/>
      <c r="C50" s="187" t="s">
        <v>204</v>
      </c>
      <c r="D50" s="140">
        <f>D49*1.1</f>
        <v>0</v>
      </c>
      <c r="E50" s="140"/>
      <c r="F50" s="158"/>
      <c r="G50" s="140"/>
      <c r="H50" s="140"/>
      <c r="I50" s="140"/>
      <c r="J50" s="140"/>
      <c r="K50" s="159"/>
      <c r="L50" s="140"/>
      <c r="M50" s="140"/>
      <c r="N50" s="158"/>
      <c r="O50" s="158"/>
      <c r="P50" s="140"/>
      <c r="Q50" s="140"/>
      <c r="R50" s="140"/>
      <c r="S50" s="140"/>
      <c r="T50" s="140"/>
      <c r="U50" s="73"/>
      <c r="V50" s="140"/>
      <c r="W50" s="140"/>
      <c r="X50" s="140"/>
      <c r="Y50" s="140"/>
      <c r="Z50" s="17"/>
    </row>
    <row r="51" spans="1:26" s="15" customFormat="1" ht="20.100000000000001" customHeight="1">
      <c r="A51" s="551"/>
      <c r="B51" s="464" t="s">
        <v>107</v>
      </c>
      <c r="C51" s="187" t="s">
        <v>199</v>
      </c>
      <c r="D51" s="140"/>
      <c r="E51" s="140"/>
      <c r="F51" s="158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73"/>
      <c r="V51" s="140"/>
      <c r="W51" s="140"/>
      <c r="X51" s="140"/>
      <c r="Y51" s="140"/>
      <c r="Z51" s="17" t="e">
        <f>SUM(#REF!)</f>
        <v>#REF!</v>
      </c>
    </row>
    <row r="52" spans="1:26" s="15" customFormat="1" ht="20.100000000000001" customHeight="1">
      <c r="A52" s="551"/>
      <c r="B52" s="464"/>
      <c r="C52" s="187" t="s">
        <v>204</v>
      </c>
      <c r="D52" s="189">
        <f>D51*1.1</f>
        <v>0</v>
      </c>
      <c r="E52" s="188"/>
      <c r="F52" s="158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73"/>
      <c r="V52" s="140"/>
      <c r="W52" s="140"/>
      <c r="X52" s="140"/>
      <c r="Y52" s="140"/>
      <c r="Z52" s="17"/>
    </row>
    <row r="53" spans="1:26" s="15" customFormat="1" ht="20.100000000000001" customHeight="1">
      <c r="A53" s="551"/>
      <c r="B53" s="464" t="s">
        <v>108</v>
      </c>
      <c r="C53" s="187" t="s">
        <v>199</v>
      </c>
      <c r="D53" s="173"/>
      <c r="E53" s="172"/>
      <c r="F53" s="158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>
        <f>V51*1.1</f>
        <v>0</v>
      </c>
      <c r="W53" s="140">
        <f>W51*1.1</f>
        <v>0</v>
      </c>
      <c r="X53" s="140">
        <f>X51*1.1</f>
        <v>0</v>
      </c>
      <c r="Y53" s="140">
        <f>Y51*1.1</f>
        <v>0</v>
      </c>
      <c r="Z53" s="17" t="e">
        <f>SUM(#REF!)</f>
        <v>#REF!</v>
      </c>
    </row>
    <row r="54" spans="1:26" s="15" customFormat="1" ht="20.100000000000001" customHeight="1">
      <c r="A54" s="551"/>
      <c r="B54" s="464"/>
      <c r="C54" s="187" t="s">
        <v>204</v>
      </c>
      <c r="D54" s="173">
        <f>D53*1.1</f>
        <v>0</v>
      </c>
      <c r="E54" s="172"/>
      <c r="F54" s="158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7"/>
    </row>
    <row r="55" spans="1:26" s="15" customFormat="1" ht="20.100000000000001" customHeight="1">
      <c r="A55" s="551"/>
      <c r="B55" s="464" t="s">
        <v>109</v>
      </c>
      <c r="C55" s="187" t="s">
        <v>199</v>
      </c>
      <c r="D55" s="207">
        <v>18000</v>
      </c>
      <c r="E55" s="172"/>
      <c r="F55" s="158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35"/>
      <c r="V55" s="140"/>
      <c r="W55" s="140"/>
      <c r="X55" s="140"/>
      <c r="Y55" s="140"/>
      <c r="Z55" s="17" t="e">
        <f>SUM(#REF!)</f>
        <v>#REF!</v>
      </c>
    </row>
    <row r="56" spans="1:26" s="15" customFormat="1" ht="20.100000000000001" customHeight="1">
      <c r="A56" s="551"/>
      <c r="B56" s="464"/>
      <c r="C56" s="187" t="s">
        <v>204</v>
      </c>
      <c r="D56" s="207">
        <f>D55*1.1</f>
        <v>19800</v>
      </c>
      <c r="E56" s="172"/>
      <c r="F56" s="158"/>
      <c r="G56" s="158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>
        <f>V55*1.1</f>
        <v>0</v>
      </c>
      <c r="W56" s="140">
        <f>W55*1.1</f>
        <v>0</v>
      </c>
      <c r="X56" s="140">
        <f>X55*1.1</f>
        <v>0</v>
      </c>
      <c r="Y56" s="140">
        <f>Y55*1.1</f>
        <v>0</v>
      </c>
      <c r="Z56" s="17" t="e">
        <f>SUM(#REF!)</f>
        <v>#REF!</v>
      </c>
    </row>
    <row r="57" spans="1:26" s="15" customFormat="1" ht="20.100000000000001" customHeight="1">
      <c r="A57" s="551"/>
      <c r="B57" s="464" t="s">
        <v>110</v>
      </c>
      <c r="C57" s="187" t="s">
        <v>199</v>
      </c>
      <c r="D57" s="208">
        <v>7000</v>
      </c>
      <c r="E57" s="157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7" t="e">
        <f>SUM(#REF!)</f>
        <v>#REF!</v>
      </c>
    </row>
    <row r="58" spans="1:26" s="15" customFormat="1" ht="20.100000000000001" customHeight="1">
      <c r="A58" s="551"/>
      <c r="B58" s="464"/>
      <c r="C58" s="187" t="s">
        <v>204</v>
      </c>
      <c r="D58" s="206">
        <f>D57*1.1</f>
        <v>7700.0000000000009</v>
      </c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>
        <f>V57*1.1</f>
        <v>0</v>
      </c>
      <c r="W58" s="140">
        <f>W57*1.1</f>
        <v>0</v>
      </c>
      <c r="X58" s="140">
        <f>X57*1.1</f>
        <v>0</v>
      </c>
      <c r="Y58" s="140">
        <f>Y57*1.1</f>
        <v>0</v>
      </c>
      <c r="Z58" s="17" t="e">
        <f>SUM(#REF!)</f>
        <v>#REF!</v>
      </c>
    </row>
    <row r="59" spans="1:26" s="15" customFormat="1" ht="20.100000000000001" customHeight="1">
      <c r="A59" s="551"/>
      <c r="B59" s="464" t="s">
        <v>111</v>
      </c>
      <c r="C59" s="187" t="s">
        <v>199</v>
      </c>
      <c r="D59" s="158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61"/>
      <c r="V59" s="161"/>
      <c r="W59" s="140"/>
      <c r="X59" s="140"/>
      <c r="Y59" s="140"/>
      <c r="Z59" s="17" t="e">
        <f>SUM(#REF!)</f>
        <v>#REF!</v>
      </c>
    </row>
    <row r="60" spans="1:26" s="15" customFormat="1" ht="20.100000000000001" customHeight="1">
      <c r="A60" s="551"/>
      <c r="B60" s="464"/>
      <c r="C60" s="187" t="s">
        <v>204</v>
      </c>
      <c r="D60" s="158">
        <f>D59*1.1</f>
        <v>0</v>
      </c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61"/>
      <c r="V60" s="161"/>
      <c r="W60" s="140"/>
      <c r="X60" s="140"/>
      <c r="Y60" s="140"/>
      <c r="Z60" s="17" t="e">
        <f>SUM(#REF!)</f>
        <v>#REF!</v>
      </c>
    </row>
    <row r="61" spans="1:26" s="15" customFormat="1" ht="20.100000000000001" customHeight="1">
      <c r="A61" s="551"/>
      <c r="B61" s="464" t="s">
        <v>112</v>
      </c>
      <c r="C61" s="187" t="s">
        <v>199</v>
      </c>
      <c r="D61" s="158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61"/>
      <c r="V61" s="161"/>
      <c r="W61" s="140"/>
      <c r="X61" s="140"/>
      <c r="Y61" s="140"/>
      <c r="Z61" s="17" t="e">
        <f>SUM(#REF!)</f>
        <v>#REF!</v>
      </c>
    </row>
    <row r="62" spans="1:26" s="15" customFormat="1" ht="20.100000000000001" customHeight="1">
      <c r="A62" s="551"/>
      <c r="B62" s="464"/>
      <c r="C62" s="187" t="s">
        <v>204</v>
      </c>
      <c r="D62" s="158">
        <f>D61*1.1</f>
        <v>0</v>
      </c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>
        <f>V61*1.1</f>
        <v>0</v>
      </c>
      <c r="W62" s="140">
        <f>W61*1.1</f>
        <v>0</v>
      </c>
      <c r="X62" s="140">
        <f>X61*1.1</f>
        <v>0</v>
      </c>
      <c r="Y62" s="140">
        <f>Y61*1.1</f>
        <v>0</v>
      </c>
      <c r="Z62" s="17" t="e">
        <f>SUM(#REF!)</f>
        <v>#REF!</v>
      </c>
    </row>
    <row r="63" spans="1:26" s="15" customFormat="1" ht="20.100000000000001" customHeight="1">
      <c r="A63" s="551"/>
      <c r="B63" s="464" t="s">
        <v>113</v>
      </c>
      <c r="C63" s="187" t="s">
        <v>199</v>
      </c>
      <c r="D63" s="158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61"/>
      <c r="V63" s="161"/>
      <c r="W63" s="140"/>
      <c r="X63" s="140"/>
      <c r="Y63" s="140"/>
      <c r="Z63" s="17" t="e">
        <f>SUM(#REF!)</f>
        <v>#REF!</v>
      </c>
    </row>
    <row r="64" spans="1:26" s="15" customFormat="1" ht="20.100000000000001" customHeight="1">
      <c r="A64" s="551"/>
      <c r="B64" s="464"/>
      <c r="C64" s="187" t="s">
        <v>204</v>
      </c>
      <c r="D64" s="158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61"/>
      <c r="V64" s="161"/>
      <c r="W64" s="140"/>
      <c r="X64" s="140"/>
      <c r="Y64" s="140"/>
      <c r="Z64" s="17" t="e">
        <f>SUM(#REF!)</f>
        <v>#REF!</v>
      </c>
    </row>
    <row r="65" spans="1:26" s="15" customFormat="1" ht="20.100000000000001" customHeight="1">
      <c r="A65" s="551"/>
      <c r="B65" s="464" t="s">
        <v>26</v>
      </c>
      <c r="C65" s="187" t="s">
        <v>199</v>
      </c>
      <c r="D65" s="158">
        <v>0</v>
      </c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62"/>
      <c r="T65" s="140"/>
      <c r="U65" s="161"/>
      <c r="V65" s="161"/>
      <c r="W65" s="140"/>
      <c r="X65" s="140"/>
      <c r="Y65" s="140"/>
      <c r="Z65" s="17" t="e">
        <f>SUM(#REF!)</f>
        <v>#REF!</v>
      </c>
    </row>
    <row r="66" spans="1:26" s="15" customFormat="1" ht="20.100000000000001" customHeight="1">
      <c r="A66" s="551"/>
      <c r="B66" s="464"/>
      <c r="C66" s="187" t="s">
        <v>204</v>
      </c>
      <c r="D66" s="158">
        <f>D65*1.1</f>
        <v>0</v>
      </c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62"/>
      <c r="T66" s="140"/>
      <c r="U66" s="161"/>
      <c r="V66" s="161"/>
      <c r="W66" s="140"/>
      <c r="X66" s="140"/>
      <c r="Y66" s="140"/>
      <c r="Z66" s="17" t="e">
        <f>SUM(#REF!)</f>
        <v>#REF!</v>
      </c>
    </row>
    <row r="67" spans="1:26" s="15" customFormat="1" ht="20.100000000000001" customHeight="1">
      <c r="A67" s="551"/>
      <c r="B67" s="464" t="s">
        <v>114</v>
      </c>
      <c r="C67" s="187" t="s">
        <v>199</v>
      </c>
      <c r="D67" s="206">
        <v>108060</v>
      </c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61"/>
      <c r="V67" s="161"/>
      <c r="W67" s="140"/>
      <c r="X67" s="140"/>
      <c r="Y67" s="140"/>
      <c r="Z67" s="17" t="e">
        <f>SUM(#REF!)</f>
        <v>#REF!</v>
      </c>
    </row>
    <row r="68" spans="1:26" s="15" customFormat="1" ht="20.100000000000001" customHeight="1">
      <c r="A68" s="551"/>
      <c r="B68" s="464"/>
      <c r="C68" s="187" t="s">
        <v>204</v>
      </c>
      <c r="D68" s="206">
        <f>D67*1.1</f>
        <v>118866.00000000001</v>
      </c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61"/>
      <c r="W68" s="140"/>
      <c r="X68" s="140"/>
      <c r="Y68" s="140"/>
      <c r="Z68" s="17" t="e">
        <f>SUM(#REF!)</f>
        <v>#REF!</v>
      </c>
    </row>
    <row r="69" spans="1:26" s="15" customFormat="1" ht="20.100000000000001" customHeight="1">
      <c r="A69" s="551"/>
      <c r="B69" s="464" t="s">
        <v>167</v>
      </c>
      <c r="C69" s="187" t="s">
        <v>199</v>
      </c>
      <c r="D69" s="158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61"/>
      <c r="V69" s="161"/>
      <c r="W69" s="140"/>
      <c r="X69" s="140"/>
      <c r="Y69" s="140"/>
      <c r="Z69" s="17" t="e">
        <f>SUM(#REF!)</f>
        <v>#REF!</v>
      </c>
    </row>
    <row r="70" spans="1:26" s="15" customFormat="1" ht="20.100000000000001" customHeight="1">
      <c r="A70" s="551"/>
      <c r="B70" s="464"/>
      <c r="C70" s="187" t="s">
        <v>204</v>
      </c>
      <c r="D70" s="158">
        <f>D69*1.1</f>
        <v>0</v>
      </c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61"/>
      <c r="V70" s="161"/>
      <c r="W70" s="140"/>
      <c r="X70" s="140"/>
      <c r="Y70" s="140"/>
      <c r="Z70" s="17" t="e">
        <f>SUM(#REF!)</f>
        <v>#REF!</v>
      </c>
    </row>
    <row r="71" spans="1:26" s="15" customFormat="1" ht="20.100000000000001" customHeight="1">
      <c r="A71" s="551"/>
      <c r="B71" s="464" t="s">
        <v>166</v>
      </c>
      <c r="C71" s="187" t="s">
        <v>199</v>
      </c>
      <c r="D71" s="158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61"/>
      <c r="V71" s="161"/>
      <c r="W71" s="140"/>
      <c r="X71" s="140"/>
      <c r="Y71" s="140"/>
      <c r="Z71" s="17" t="e">
        <f>SUM(#REF!)</f>
        <v>#REF!</v>
      </c>
    </row>
    <row r="72" spans="1:26" s="15" customFormat="1" ht="20.100000000000001" customHeight="1">
      <c r="A72" s="551"/>
      <c r="B72" s="464"/>
      <c r="C72" s="187" t="s">
        <v>204</v>
      </c>
      <c r="D72" s="158">
        <f>D71*1.1</f>
        <v>0</v>
      </c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61"/>
      <c r="V72" s="161"/>
      <c r="W72" s="140"/>
      <c r="X72" s="140"/>
      <c r="Y72" s="140"/>
      <c r="Z72" s="17" t="e">
        <f>SUM(#REF!)</f>
        <v>#REF!</v>
      </c>
    </row>
    <row r="73" spans="1:26" s="15" customFormat="1" ht="20.100000000000001" customHeight="1">
      <c r="A73" s="551"/>
      <c r="B73" s="464" t="s">
        <v>115</v>
      </c>
      <c r="C73" s="187" t="s">
        <v>199</v>
      </c>
      <c r="D73" s="158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61"/>
      <c r="V73" s="161"/>
      <c r="W73" s="140"/>
      <c r="X73" s="140"/>
      <c r="Y73" s="140"/>
      <c r="Z73" s="17" t="e">
        <f>SUM(#REF!)</f>
        <v>#REF!</v>
      </c>
    </row>
    <row r="74" spans="1:26" s="15" customFormat="1" ht="20.100000000000001" customHeight="1">
      <c r="A74" s="551"/>
      <c r="B74" s="464"/>
      <c r="C74" s="187" t="s">
        <v>204</v>
      </c>
      <c r="D74" s="158">
        <f>D73*1.1</f>
        <v>0</v>
      </c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61"/>
      <c r="V74" s="161"/>
      <c r="W74" s="140"/>
      <c r="X74" s="140"/>
      <c r="Y74" s="140"/>
      <c r="Z74" s="17" t="e">
        <f>SUM(#REF!)</f>
        <v>#REF!</v>
      </c>
    </row>
    <row r="75" spans="1:26" s="15" customFormat="1" ht="20.100000000000001" customHeight="1">
      <c r="A75" s="551"/>
      <c r="B75" s="464" t="s">
        <v>27</v>
      </c>
      <c r="C75" s="187" t="s">
        <v>199</v>
      </c>
      <c r="D75" s="158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61"/>
      <c r="V75" s="161"/>
      <c r="W75" s="140"/>
      <c r="X75" s="140"/>
      <c r="Y75" s="140"/>
      <c r="Z75" s="17" t="e">
        <f>SUM(#REF!)</f>
        <v>#REF!</v>
      </c>
    </row>
    <row r="76" spans="1:26" s="15" customFormat="1" ht="20.100000000000001" customHeight="1">
      <c r="A76" s="551"/>
      <c r="B76" s="464"/>
      <c r="C76" s="187" t="s">
        <v>204</v>
      </c>
      <c r="D76" s="158">
        <f>D75*1.1</f>
        <v>0</v>
      </c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61"/>
      <c r="V76" s="161"/>
      <c r="W76" s="140"/>
      <c r="X76" s="140"/>
      <c r="Y76" s="140"/>
      <c r="Z76" s="17" t="e">
        <f>SUM(#REF!)</f>
        <v>#REF!</v>
      </c>
    </row>
    <row r="77" spans="1:26" s="15" customFormat="1" ht="20.100000000000001" customHeight="1">
      <c r="A77" s="551"/>
      <c r="B77" s="464" t="s">
        <v>37</v>
      </c>
      <c r="C77" s="187" t="s">
        <v>199</v>
      </c>
      <c r="D77" s="158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61"/>
      <c r="V77" s="161"/>
      <c r="W77" s="140"/>
      <c r="X77" s="140"/>
      <c r="Y77" s="140"/>
      <c r="Z77" s="17" t="e">
        <f>SUM(#REF!)</f>
        <v>#REF!</v>
      </c>
    </row>
    <row r="78" spans="1:26" s="15" customFormat="1" ht="20.100000000000001" customHeight="1">
      <c r="A78" s="551"/>
      <c r="B78" s="464"/>
      <c r="C78" s="187" t="s">
        <v>204</v>
      </c>
      <c r="D78" s="158">
        <f>D77*1.1</f>
        <v>0</v>
      </c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61"/>
      <c r="W78" s="140"/>
      <c r="X78" s="140"/>
      <c r="Y78" s="140"/>
      <c r="Z78" s="17" t="e">
        <f>SUM(#REF!)</f>
        <v>#REF!</v>
      </c>
    </row>
    <row r="79" spans="1:26" s="15" customFormat="1" ht="20.100000000000001" customHeight="1">
      <c r="A79" s="551"/>
      <c r="B79" s="371" t="s">
        <v>143</v>
      </c>
      <c r="C79" s="187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84"/>
      <c r="V79" s="161"/>
      <c r="W79" s="140"/>
      <c r="X79" s="140"/>
      <c r="Y79" s="140"/>
      <c r="Z79" s="17"/>
    </row>
    <row r="80" spans="1:26" s="15" customFormat="1" ht="20.100000000000001" customHeight="1">
      <c r="A80" s="551"/>
      <c r="B80" s="517"/>
      <c r="C80" s="187"/>
      <c r="D80" s="158">
        <f>D79*1.1</f>
        <v>0</v>
      </c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84"/>
      <c r="V80" s="161"/>
      <c r="W80" s="140"/>
      <c r="X80" s="140"/>
      <c r="Y80" s="140"/>
      <c r="Z80" s="17"/>
    </row>
    <row r="81" spans="1:30" s="15" customFormat="1" ht="20.100000000000001" customHeight="1">
      <c r="A81" s="551"/>
      <c r="B81" s="464" t="s">
        <v>95</v>
      </c>
      <c r="C81" s="187" t="s">
        <v>199</v>
      </c>
      <c r="D81" s="158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61"/>
      <c r="V81" s="161"/>
      <c r="W81" s="140"/>
      <c r="X81" s="140"/>
      <c r="Y81" s="140"/>
      <c r="Z81" s="17" t="e">
        <f>SUM(#REF!)</f>
        <v>#REF!</v>
      </c>
    </row>
    <row r="82" spans="1:30" s="15" customFormat="1" ht="20.100000000000001" customHeight="1">
      <c r="A82" s="551"/>
      <c r="B82" s="464"/>
      <c r="C82" s="187" t="s">
        <v>204</v>
      </c>
      <c r="D82" s="158">
        <f>D81*1.1</f>
        <v>0</v>
      </c>
      <c r="E82" s="117"/>
      <c r="F82" s="117"/>
      <c r="G82" s="117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61"/>
      <c r="V82" s="161"/>
      <c r="W82" s="140"/>
      <c r="X82" s="140"/>
      <c r="Y82" s="140"/>
      <c r="Z82" s="17" t="e">
        <f>SUM(#REF!)</f>
        <v>#REF!</v>
      </c>
    </row>
    <row r="83" spans="1:30" s="15" customFormat="1" ht="20.100000000000001" customHeight="1">
      <c r="A83" s="551"/>
      <c r="B83" s="464" t="s">
        <v>136</v>
      </c>
      <c r="C83" s="187" t="s">
        <v>199</v>
      </c>
      <c r="D83" s="158"/>
      <c r="E83" s="140"/>
      <c r="F83" s="140"/>
      <c r="G83" s="140"/>
      <c r="H83" s="140"/>
      <c r="I83" s="140"/>
      <c r="J83" s="140"/>
      <c r="K83" s="140"/>
      <c r="L83" s="157"/>
      <c r="M83" s="157"/>
      <c r="N83" s="157"/>
      <c r="O83" s="140"/>
      <c r="P83" s="140"/>
      <c r="Q83" s="140"/>
      <c r="R83" s="140"/>
      <c r="S83" s="140"/>
      <c r="T83" s="140"/>
      <c r="U83" s="82"/>
      <c r="V83" s="140"/>
      <c r="W83" s="140"/>
      <c r="X83" s="140"/>
      <c r="Y83" s="140"/>
      <c r="Z83" s="17" t="e">
        <f>SUM(#REF!)</f>
        <v>#REF!</v>
      </c>
    </row>
    <row r="84" spans="1:30" s="15" customFormat="1" ht="20.100000000000001" customHeight="1">
      <c r="A84" s="551"/>
      <c r="B84" s="464"/>
      <c r="C84" s="187" t="s">
        <v>204</v>
      </c>
      <c r="D84" s="158">
        <f>D83*1.1</f>
        <v>0</v>
      </c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59"/>
      <c r="U84" s="79"/>
      <c r="V84" s="158"/>
      <c r="W84" s="140"/>
      <c r="X84" s="140"/>
      <c r="Y84" s="140"/>
      <c r="Z84" s="17" t="e">
        <f>SUM(#REF!)</f>
        <v>#REF!</v>
      </c>
    </row>
    <row r="85" spans="1:30" s="15" customFormat="1" ht="20.100000000000001" customHeight="1" thickBot="1">
      <c r="A85" s="551"/>
      <c r="B85" s="186" t="s">
        <v>203</v>
      </c>
      <c r="C85" s="185"/>
      <c r="D85" s="158">
        <v>106200</v>
      </c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59"/>
      <c r="U85" s="172"/>
      <c r="V85" s="184"/>
      <c r="W85" s="140"/>
      <c r="X85" s="140"/>
      <c r="Y85" s="140"/>
      <c r="Z85" s="17" t="e">
        <f>SUM(#REF!)</f>
        <v>#REF!</v>
      </c>
    </row>
    <row r="86" spans="1:30" s="15" customFormat="1" ht="20.100000000000001" customHeight="1" thickBot="1">
      <c r="A86" s="551"/>
      <c r="B86" s="597" t="s">
        <v>202</v>
      </c>
      <c r="C86" s="597"/>
      <c r="D86" s="180">
        <f>D3+D7+D9+D13+D15+D17+D19+D21+D23+D25+D27+D29+D31+D33+D35+D37+D39+D41+D43+D45+D47+D49+D51+D53+D55+D57+D59+D61+D63+D65+D67+D69+D71+D73+D75+D77+D81+D83+D85</f>
        <v>678405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83"/>
      <c r="U86" s="182"/>
      <c r="V86" s="181">
        <f>V3+V9+V13+V7+V17+V15+V21+V19+V23+V27+V85+V25+V33+V35+V29+V39+V41+V45+V47+V83+V55+V51+V43+V57+V61+V65+V59+V37+V63+V67+V69+V71+V73+V75+V77+V81</f>
        <v>0</v>
      </c>
      <c r="W86" s="180">
        <f>W3+W9+W13+W7+W17+W15+W21+W19+W23+W27+W85+W25+W33+W35+W29+W39+W41+W45+W47+W83+W55+W51+W43+W57+W61+W65+W59+W37+W63+W67+W69+W71+W73+W75+W77+W81</f>
        <v>0</v>
      </c>
      <c r="X86" s="131">
        <f>X3+X9+X13+X7+X17+X15+X21+X19+X23+X27+X85+X25+X33+X35+X29+X39+X41+X45+X47+X83+X55+X51+X43+X57+X61+X65+X59+X37+X63+X67+X69+X71+X73+X75+X77+X81</f>
        <v>0</v>
      </c>
      <c r="Y86" s="131">
        <f>Y3+Y9+Y13+Y7+Y17+Y15+Y21+Y19+Y23+Y27+Y85+Y25+Y33+Y35+Y29+Y39+Y41+Y45+Y47+Y83+Y55+Y51+Y43+Y57+Y61+Y65+Y59+Y37+Y63+Y67+Y69+Y71+Y73+Y75+Y77+Y81</f>
        <v>0</v>
      </c>
      <c r="Z86" s="17" t="e">
        <f>SUM(#REF!)</f>
        <v>#REF!</v>
      </c>
      <c r="AA86" s="23" t="e">
        <f>SUM(#REF!)</f>
        <v>#REF!</v>
      </c>
      <c r="AC86" s="43" t="e">
        <f>Z86+AB86</f>
        <v>#REF!</v>
      </c>
      <c r="AD86" s="23" t="e">
        <f>#REF!+#REF!</f>
        <v>#REF!</v>
      </c>
    </row>
    <row r="87" spans="1:30" s="15" customFormat="1" ht="20.100000000000001" customHeight="1">
      <c r="A87" s="556" t="s">
        <v>30</v>
      </c>
      <c r="B87" s="160" t="s">
        <v>142</v>
      </c>
      <c r="C87" s="155" t="s">
        <v>199</v>
      </c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79"/>
      <c r="U87" s="178"/>
      <c r="V87" s="177"/>
      <c r="W87" s="134"/>
      <c r="X87" s="134"/>
      <c r="Y87" s="134"/>
      <c r="Z87" s="17" t="e">
        <f>SUM(#REF!)</f>
        <v>#REF!</v>
      </c>
    </row>
    <row r="88" spans="1:30" s="15" customFormat="1" ht="20.100000000000001" customHeight="1">
      <c r="A88" s="556"/>
      <c r="B88" s="176" t="s">
        <v>201</v>
      </c>
      <c r="C88" s="155" t="s">
        <v>199</v>
      </c>
      <c r="D88" s="140">
        <v>317408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57"/>
      <c r="V88" s="140"/>
      <c r="W88" s="140"/>
      <c r="X88" s="140"/>
      <c r="Y88" s="140"/>
      <c r="Z88" s="17" t="e">
        <f>SUM(#REF!)</f>
        <v>#REF!</v>
      </c>
    </row>
    <row r="89" spans="1:30" s="15" customFormat="1" ht="20.100000000000001" customHeight="1">
      <c r="A89" s="556"/>
      <c r="B89" s="160" t="s">
        <v>116</v>
      </c>
      <c r="C89" s="175" t="s">
        <v>199</v>
      </c>
      <c r="D89" s="161">
        <v>127265</v>
      </c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88" t="e">
        <f>SUM(#REF!)</f>
        <v>#REF!</v>
      </c>
    </row>
    <row r="90" spans="1:30" s="15" customFormat="1" ht="20.100000000000001" customHeight="1">
      <c r="A90" s="556"/>
      <c r="B90" s="160" t="s">
        <v>117</v>
      </c>
      <c r="C90" s="170" t="s">
        <v>199</v>
      </c>
      <c r="D90" s="172"/>
      <c r="E90" s="172"/>
      <c r="F90" s="174"/>
      <c r="G90" s="140"/>
      <c r="H90" s="173"/>
      <c r="I90" s="173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86" t="e">
        <f>SUM(#REF!)</f>
        <v>#REF!</v>
      </c>
    </row>
    <row r="91" spans="1:30" s="15" customFormat="1" ht="20.100000000000001" customHeight="1">
      <c r="A91" s="556"/>
      <c r="B91" s="171" t="s">
        <v>118</v>
      </c>
      <c r="C91" s="170" t="s">
        <v>199</v>
      </c>
      <c r="D91" s="169"/>
      <c r="E91" s="166"/>
      <c r="F91" s="168"/>
      <c r="G91" s="136"/>
      <c r="H91" s="167"/>
      <c r="I91" s="167"/>
      <c r="J91" s="172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87"/>
    </row>
    <row r="92" spans="1:30" s="15" customFormat="1" ht="20.100000000000001" customHeight="1">
      <c r="A92" s="556"/>
      <c r="B92" s="171" t="s">
        <v>119</v>
      </c>
      <c r="C92" s="170" t="s">
        <v>199</v>
      </c>
      <c r="D92" s="169"/>
      <c r="E92" s="166"/>
      <c r="F92" s="168"/>
      <c r="G92" s="136"/>
      <c r="H92" s="167"/>
      <c r="I92" s="167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87"/>
    </row>
    <row r="93" spans="1:30" s="15" customFormat="1" ht="20.100000000000001" customHeight="1">
      <c r="A93" s="556"/>
      <c r="B93" s="160" t="s">
        <v>120</v>
      </c>
      <c r="C93" s="165" t="s">
        <v>199</v>
      </c>
      <c r="D93" s="157"/>
      <c r="E93" s="157"/>
      <c r="F93" s="164"/>
      <c r="G93" s="136"/>
      <c r="H93" s="163"/>
      <c r="I93" s="163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90" t="e">
        <f>SUM(#REF!)</f>
        <v>#REF!</v>
      </c>
    </row>
    <row r="94" spans="1:30" s="15" customFormat="1" ht="20.100000000000001" customHeight="1">
      <c r="A94" s="556"/>
      <c r="B94" s="160" t="s">
        <v>121</v>
      </c>
      <c r="C94" s="155" t="s">
        <v>199</v>
      </c>
      <c r="D94" s="140"/>
      <c r="E94" s="140"/>
      <c r="F94" s="159"/>
      <c r="G94" s="136"/>
      <c r="H94" s="158"/>
      <c r="I94" s="158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7" t="e">
        <f>SUM(#REF!)</f>
        <v>#REF!</v>
      </c>
    </row>
    <row r="95" spans="1:30" s="15" customFormat="1" ht="20.100000000000001" customHeight="1">
      <c r="A95" s="556"/>
      <c r="B95" s="160" t="s">
        <v>122</v>
      </c>
      <c r="C95" s="155" t="s">
        <v>199</v>
      </c>
      <c r="D95" s="140"/>
      <c r="E95" s="140"/>
      <c r="F95" s="159"/>
      <c r="G95" s="136"/>
      <c r="H95" s="158"/>
      <c r="I95" s="158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7" t="e">
        <f>SUM(#REF!)</f>
        <v>#REF!</v>
      </c>
    </row>
    <row r="96" spans="1:30" s="15" customFormat="1" ht="20.100000000000001" customHeight="1">
      <c r="A96" s="556"/>
      <c r="B96" s="160" t="s">
        <v>123</v>
      </c>
      <c r="C96" s="155" t="s">
        <v>199</v>
      </c>
      <c r="D96" s="140"/>
      <c r="E96" s="140"/>
      <c r="F96" s="159"/>
      <c r="G96" s="136"/>
      <c r="H96" s="158"/>
      <c r="I96" s="158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7" t="e">
        <f>SUM(#REF!)</f>
        <v>#REF!</v>
      </c>
    </row>
    <row r="97" spans="1:26" s="15" customFormat="1" ht="20.100000000000001" customHeight="1">
      <c r="A97" s="556"/>
      <c r="B97" s="160" t="s">
        <v>124</v>
      </c>
      <c r="C97" s="155" t="s">
        <v>199</v>
      </c>
      <c r="D97" s="140"/>
      <c r="E97" s="140"/>
      <c r="F97" s="159"/>
      <c r="G97" s="162"/>
      <c r="H97" s="158"/>
      <c r="I97" s="158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7" t="e">
        <f>SUM(#REF!)</f>
        <v>#REF!</v>
      </c>
    </row>
    <row r="98" spans="1:26" s="15" customFormat="1" ht="20.100000000000001" customHeight="1">
      <c r="A98" s="556"/>
      <c r="B98" s="160" t="s">
        <v>125</v>
      </c>
      <c r="C98" s="155" t="s">
        <v>199</v>
      </c>
      <c r="D98" s="140">
        <v>77336</v>
      </c>
      <c r="E98" s="140"/>
      <c r="F98" s="159"/>
      <c r="G98" s="140"/>
      <c r="H98" s="158"/>
      <c r="I98" s="158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7" t="e">
        <f>SUM(#REF!)</f>
        <v>#REF!</v>
      </c>
    </row>
    <row r="99" spans="1:26" s="15" customFormat="1" ht="20.100000000000001" customHeight="1">
      <c r="A99" s="556"/>
      <c r="B99" s="160" t="s">
        <v>91</v>
      </c>
      <c r="C99" s="155" t="s">
        <v>199</v>
      </c>
      <c r="D99" s="140"/>
      <c r="E99" s="140"/>
      <c r="F99" s="159"/>
      <c r="G99" s="162"/>
      <c r="H99" s="158"/>
      <c r="I99" s="158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7" t="e">
        <f>SUM(#REF!)</f>
        <v>#REF!</v>
      </c>
    </row>
    <row r="100" spans="1:26" s="15" customFormat="1" ht="20.100000000000001" customHeight="1">
      <c r="A100" s="556"/>
      <c r="B100" s="160" t="s">
        <v>93</v>
      </c>
      <c r="C100" s="155" t="s">
        <v>199</v>
      </c>
      <c r="D100" s="140"/>
      <c r="E100" s="140"/>
      <c r="F100" s="159"/>
      <c r="G100" s="162"/>
      <c r="H100" s="158"/>
      <c r="I100" s="158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7" t="e">
        <f>SUM(#REF!)</f>
        <v>#REF!</v>
      </c>
    </row>
    <row r="101" spans="1:26" s="15" customFormat="1" ht="20.100000000000001" customHeight="1">
      <c r="A101" s="556"/>
      <c r="B101" s="160" t="s">
        <v>96</v>
      </c>
      <c r="C101" s="155" t="s">
        <v>199</v>
      </c>
      <c r="D101" s="140"/>
      <c r="E101" s="140"/>
      <c r="F101" s="159"/>
      <c r="G101" s="162"/>
      <c r="H101" s="158"/>
      <c r="I101" s="158"/>
      <c r="J101" s="140"/>
      <c r="K101" s="140"/>
      <c r="L101" s="161"/>
      <c r="M101" s="161"/>
      <c r="N101" s="161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7" t="e">
        <f>SUM(#REF!)</f>
        <v>#REF!</v>
      </c>
    </row>
    <row r="102" spans="1:26" s="15" customFormat="1" ht="20.100000000000001" customHeight="1">
      <c r="A102" s="556"/>
      <c r="B102" s="160" t="s">
        <v>24</v>
      </c>
      <c r="C102" s="155" t="s">
        <v>199</v>
      </c>
      <c r="D102" s="140"/>
      <c r="E102" s="140"/>
      <c r="F102" s="159"/>
      <c r="G102" s="162"/>
      <c r="H102" s="158"/>
      <c r="I102" s="158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7" t="e">
        <f>SUM(#REF!)</f>
        <v>#REF!</v>
      </c>
    </row>
    <row r="103" spans="1:26" s="15" customFormat="1" ht="20.100000000000001" customHeight="1">
      <c r="A103" s="556"/>
      <c r="B103" s="160" t="s">
        <v>99</v>
      </c>
      <c r="C103" s="155" t="s">
        <v>199</v>
      </c>
      <c r="D103" s="140"/>
      <c r="E103" s="140"/>
      <c r="F103" s="159"/>
      <c r="G103" s="140"/>
      <c r="H103" s="158"/>
      <c r="I103" s="158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7" t="e">
        <f>SUM(#REF!)</f>
        <v>#REF!</v>
      </c>
    </row>
    <row r="104" spans="1:26" s="15" customFormat="1" ht="20.100000000000001" customHeight="1">
      <c r="A104" s="556"/>
      <c r="B104" s="160" t="s">
        <v>101</v>
      </c>
      <c r="C104" s="155" t="s">
        <v>199</v>
      </c>
      <c r="D104" s="140"/>
      <c r="E104" s="140"/>
      <c r="F104" s="159"/>
      <c r="G104" s="140"/>
      <c r="H104" s="158"/>
      <c r="I104" s="158"/>
      <c r="J104" s="140"/>
      <c r="K104" s="159"/>
      <c r="L104" s="140"/>
      <c r="M104" s="140"/>
      <c r="N104" s="158"/>
      <c r="O104" s="158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7" t="e">
        <f>SUM(#REF!)</f>
        <v>#REF!</v>
      </c>
    </row>
    <row r="105" spans="1:26" s="15" customFormat="1" ht="20.100000000000001" customHeight="1">
      <c r="A105" s="556"/>
      <c r="B105" s="160" t="s">
        <v>176</v>
      </c>
      <c r="C105" s="155" t="s">
        <v>199</v>
      </c>
      <c r="D105" s="140"/>
      <c r="E105" s="140"/>
      <c r="F105" s="159"/>
      <c r="G105" s="140"/>
      <c r="H105" s="158"/>
      <c r="I105" s="158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7" t="e">
        <f>SUM(#REF!)</f>
        <v>#REF!</v>
      </c>
    </row>
    <row r="106" spans="1:26" s="15" customFormat="1" ht="20.100000000000001" customHeight="1">
      <c r="A106" s="556"/>
      <c r="B106" s="160" t="s">
        <v>200</v>
      </c>
      <c r="C106" s="155" t="s">
        <v>199</v>
      </c>
      <c r="D106" s="140">
        <v>77060</v>
      </c>
      <c r="E106" s="140"/>
      <c r="F106" s="159"/>
      <c r="G106" s="140"/>
      <c r="H106" s="158"/>
      <c r="I106" s="158"/>
      <c r="J106" s="140"/>
      <c r="K106" s="159"/>
      <c r="L106" s="140"/>
      <c r="M106" s="140"/>
      <c r="N106" s="158"/>
      <c r="O106" s="158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7" t="e">
        <f>SUM(#REF!)</f>
        <v>#REF!</v>
      </c>
    </row>
    <row r="107" spans="1:26" s="15" customFormat="1" ht="20.100000000000001" customHeight="1">
      <c r="A107" s="556"/>
      <c r="B107" s="160" t="s">
        <v>105</v>
      </c>
      <c r="C107" s="155" t="s">
        <v>199</v>
      </c>
      <c r="D107" s="140"/>
      <c r="E107" s="140"/>
      <c r="F107" s="159"/>
      <c r="G107" s="140"/>
      <c r="H107" s="158"/>
      <c r="I107" s="158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7" t="e">
        <f>SUM(#REF!)</f>
        <v>#REF!</v>
      </c>
    </row>
    <row r="108" spans="1:26" s="15" customFormat="1" ht="20.100000000000001" customHeight="1">
      <c r="A108" s="556"/>
      <c r="B108" s="160" t="s">
        <v>106</v>
      </c>
      <c r="C108" s="155" t="s">
        <v>199</v>
      </c>
      <c r="D108" s="140"/>
      <c r="E108" s="140"/>
      <c r="F108" s="159"/>
      <c r="G108" s="162"/>
      <c r="H108" s="158"/>
      <c r="I108" s="158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7" t="e">
        <f>SUM(#REF!)</f>
        <v>#REF!</v>
      </c>
    </row>
    <row r="109" spans="1:26" s="15" customFormat="1" ht="20.100000000000001" customHeight="1">
      <c r="A109" s="556"/>
      <c r="B109" s="160" t="s">
        <v>107</v>
      </c>
      <c r="C109" s="155" t="s">
        <v>199</v>
      </c>
      <c r="D109" s="140"/>
      <c r="E109" s="140"/>
      <c r="F109" s="159"/>
      <c r="G109" s="162"/>
      <c r="H109" s="158"/>
      <c r="I109" s="158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7" t="e">
        <f>SUM(#REF!)</f>
        <v>#REF!</v>
      </c>
    </row>
    <row r="110" spans="1:26" s="15" customFormat="1" ht="20.100000000000001" customHeight="1">
      <c r="A110" s="556"/>
      <c r="B110" s="160" t="s">
        <v>108</v>
      </c>
      <c r="C110" s="155" t="s">
        <v>199</v>
      </c>
      <c r="D110" s="140"/>
      <c r="E110" s="140"/>
      <c r="F110" s="159"/>
      <c r="G110" s="162"/>
      <c r="H110" s="158"/>
      <c r="I110" s="158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7" t="e">
        <f>SUM(#REF!)</f>
        <v>#REF!</v>
      </c>
    </row>
    <row r="111" spans="1:26" s="15" customFormat="1" ht="20.100000000000001" customHeight="1">
      <c r="A111" s="556"/>
      <c r="B111" s="160" t="s">
        <v>109</v>
      </c>
      <c r="C111" s="155" t="s">
        <v>199</v>
      </c>
      <c r="D111" s="140">
        <v>24390</v>
      </c>
      <c r="E111" s="140"/>
      <c r="F111" s="159"/>
      <c r="G111" s="136"/>
      <c r="H111" s="158"/>
      <c r="I111" s="158"/>
      <c r="J111" s="140"/>
      <c r="K111" s="140"/>
      <c r="L111" s="161"/>
      <c r="M111" s="161"/>
      <c r="N111" s="161"/>
      <c r="O111" s="161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7" t="e">
        <f>SUM(#REF!)</f>
        <v>#REF!</v>
      </c>
    </row>
    <row r="112" spans="1:26" s="15" customFormat="1" ht="20.100000000000001" customHeight="1">
      <c r="A112" s="556"/>
      <c r="B112" s="160" t="s">
        <v>110</v>
      </c>
      <c r="C112" s="155" t="s">
        <v>199</v>
      </c>
      <c r="D112" s="140">
        <v>9720</v>
      </c>
      <c r="E112" s="140"/>
      <c r="F112" s="159"/>
      <c r="G112" s="140"/>
      <c r="H112" s="158"/>
      <c r="I112" s="158"/>
      <c r="J112" s="140"/>
      <c r="K112" s="140"/>
      <c r="L112" s="161"/>
      <c r="M112" s="161"/>
      <c r="N112" s="161"/>
      <c r="O112" s="161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7" t="e">
        <f>SUM(#REF!)</f>
        <v>#REF!</v>
      </c>
    </row>
    <row r="113" spans="1:29" s="15" customFormat="1" ht="20.100000000000001" customHeight="1">
      <c r="A113" s="556"/>
      <c r="B113" s="160" t="s">
        <v>111</v>
      </c>
      <c r="C113" s="155" t="s">
        <v>199</v>
      </c>
      <c r="D113" s="140"/>
      <c r="E113" s="140"/>
      <c r="F113" s="159"/>
      <c r="G113" s="162"/>
      <c r="H113" s="158"/>
      <c r="I113" s="158"/>
      <c r="J113" s="140"/>
      <c r="K113" s="140"/>
      <c r="L113" s="161"/>
      <c r="M113" s="161"/>
      <c r="N113" s="161"/>
      <c r="O113" s="161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7" t="e">
        <f>SUM(#REF!)</f>
        <v>#REF!</v>
      </c>
    </row>
    <row r="114" spans="1:29" s="15" customFormat="1" ht="20.100000000000001" customHeight="1">
      <c r="A114" s="556"/>
      <c r="B114" s="160" t="s">
        <v>112</v>
      </c>
      <c r="C114" s="155" t="s">
        <v>199</v>
      </c>
      <c r="D114" s="140"/>
      <c r="E114" s="140"/>
      <c r="F114" s="159"/>
      <c r="G114" s="162"/>
      <c r="H114" s="158"/>
      <c r="I114" s="158"/>
      <c r="J114" s="140"/>
      <c r="K114" s="140"/>
      <c r="L114" s="161"/>
      <c r="M114" s="161"/>
      <c r="N114" s="161"/>
      <c r="O114" s="161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7" t="e">
        <f>SUM(#REF!)</f>
        <v>#REF!</v>
      </c>
    </row>
    <row r="115" spans="1:29" s="15" customFormat="1" ht="20.100000000000001" customHeight="1">
      <c r="A115" s="556"/>
      <c r="B115" s="160" t="s">
        <v>113</v>
      </c>
      <c r="C115" s="155" t="s">
        <v>199</v>
      </c>
      <c r="D115" s="140"/>
      <c r="E115" s="140"/>
      <c r="F115" s="159"/>
      <c r="G115" s="162"/>
      <c r="H115" s="158"/>
      <c r="I115" s="158"/>
      <c r="J115" s="140"/>
      <c r="K115" s="140"/>
      <c r="L115" s="161"/>
      <c r="M115" s="161"/>
      <c r="N115" s="161"/>
      <c r="O115" s="161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7" t="e">
        <f>SUM(#REF!)</f>
        <v>#REF!</v>
      </c>
    </row>
    <row r="116" spans="1:29" s="15" customFormat="1" ht="20.100000000000001" customHeight="1">
      <c r="A116" s="556"/>
      <c r="B116" s="160" t="s">
        <v>26</v>
      </c>
      <c r="C116" s="155" t="s">
        <v>199</v>
      </c>
      <c r="D116" s="140">
        <v>102035</v>
      </c>
      <c r="E116" s="140"/>
      <c r="F116" s="159"/>
      <c r="G116" s="162"/>
      <c r="H116" s="158"/>
      <c r="I116" s="158"/>
      <c r="J116" s="140"/>
      <c r="K116" s="140"/>
      <c r="L116" s="161"/>
      <c r="M116" s="161"/>
      <c r="N116" s="161"/>
      <c r="O116" s="161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7" t="e">
        <f>SUM(#REF!)</f>
        <v>#REF!</v>
      </c>
    </row>
    <row r="117" spans="1:29" s="15" customFormat="1" ht="20.100000000000001" customHeight="1">
      <c r="A117" s="556"/>
      <c r="B117" s="160" t="s">
        <v>114</v>
      </c>
      <c r="C117" s="155" t="s">
        <v>199</v>
      </c>
      <c r="D117" s="140">
        <v>141253</v>
      </c>
      <c r="E117" s="140"/>
      <c r="F117" s="159"/>
      <c r="G117" s="140"/>
      <c r="H117" s="158"/>
      <c r="I117" s="158"/>
      <c r="J117" s="140"/>
      <c r="K117" s="140"/>
      <c r="L117" s="161"/>
      <c r="M117" s="161"/>
      <c r="N117" s="161"/>
      <c r="O117" s="161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7" t="e">
        <f>SUM(#REF!)</f>
        <v>#REF!</v>
      </c>
    </row>
    <row r="118" spans="1:29" s="15" customFormat="1" ht="20.100000000000001" customHeight="1">
      <c r="A118" s="556"/>
      <c r="B118" s="160" t="s">
        <v>167</v>
      </c>
      <c r="C118" s="155" t="s">
        <v>199</v>
      </c>
      <c r="D118" s="140"/>
      <c r="E118" s="140"/>
      <c r="F118" s="159"/>
      <c r="G118" s="140"/>
      <c r="H118" s="158"/>
      <c r="I118" s="158"/>
      <c r="J118" s="140"/>
      <c r="K118" s="140"/>
      <c r="L118" s="161"/>
      <c r="M118" s="161"/>
      <c r="N118" s="161"/>
      <c r="O118" s="161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7" t="e">
        <f>SUM(#REF!)</f>
        <v>#REF!</v>
      </c>
    </row>
    <row r="119" spans="1:29" s="15" customFormat="1" ht="19.5" customHeight="1">
      <c r="A119" s="556"/>
      <c r="B119" s="160" t="s">
        <v>166</v>
      </c>
      <c r="C119" s="155" t="s">
        <v>199</v>
      </c>
      <c r="D119" s="140"/>
      <c r="E119" s="140"/>
      <c r="F119" s="159"/>
      <c r="G119" s="140"/>
      <c r="H119" s="158"/>
      <c r="I119" s="158"/>
      <c r="J119" s="140"/>
      <c r="K119" s="140"/>
      <c r="L119" s="161"/>
      <c r="M119" s="161"/>
      <c r="N119" s="161"/>
      <c r="O119" s="161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7" t="e">
        <f>SUM(#REF!)</f>
        <v>#REF!</v>
      </c>
    </row>
    <row r="120" spans="1:29" s="15" customFormat="1" ht="20.100000000000001" customHeight="1">
      <c r="A120" s="556"/>
      <c r="B120" s="160" t="s">
        <v>115</v>
      </c>
      <c r="C120" s="155" t="s">
        <v>199</v>
      </c>
      <c r="D120" s="140"/>
      <c r="E120" s="140"/>
      <c r="F120" s="159"/>
      <c r="G120" s="140"/>
      <c r="H120" s="158"/>
      <c r="I120" s="158"/>
      <c r="J120" s="140"/>
      <c r="K120" s="140"/>
      <c r="L120" s="161"/>
      <c r="M120" s="161"/>
      <c r="N120" s="161"/>
      <c r="O120" s="161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7" t="e">
        <f>SUM(#REF!)</f>
        <v>#REF!</v>
      </c>
    </row>
    <row r="121" spans="1:29" s="15" customFormat="1" ht="20.100000000000001" customHeight="1">
      <c r="A121" s="556"/>
      <c r="B121" s="160" t="s">
        <v>27</v>
      </c>
      <c r="C121" s="155" t="s">
        <v>199</v>
      </c>
      <c r="D121" s="140"/>
      <c r="E121" s="140"/>
      <c r="F121" s="159"/>
      <c r="G121" s="140"/>
      <c r="H121" s="158"/>
      <c r="I121" s="158"/>
      <c r="J121" s="140"/>
      <c r="K121" s="140"/>
      <c r="L121" s="161"/>
      <c r="M121" s="161"/>
      <c r="N121" s="161"/>
      <c r="O121" s="161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7" t="e">
        <f>SUM(#REF!)</f>
        <v>#REF!</v>
      </c>
    </row>
    <row r="122" spans="1:29" s="15" customFormat="1" ht="20.100000000000001" customHeight="1">
      <c r="A122" s="556"/>
      <c r="B122" s="160" t="s">
        <v>37</v>
      </c>
      <c r="C122" s="155" t="s">
        <v>199</v>
      </c>
      <c r="D122" s="140"/>
      <c r="E122" s="140"/>
      <c r="F122" s="159"/>
      <c r="G122" s="140"/>
      <c r="H122" s="158"/>
      <c r="I122" s="15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7" t="e">
        <f>SUM(#REF!)</f>
        <v>#REF!</v>
      </c>
    </row>
    <row r="123" spans="1:29" s="15" customFormat="1" ht="20.100000000000001" customHeight="1">
      <c r="A123" s="556"/>
      <c r="B123" s="160" t="s">
        <v>143</v>
      </c>
      <c r="C123" s="155" t="s">
        <v>199</v>
      </c>
      <c r="D123" s="140"/>
      <c r="E123" s="140"/>
      <c r="F123" s="159"/>
      <c r="G123" s="140"/>
      <c r="H123" s="158"/>
      <c r="I123" s="158"/>
      <c r="J123" s="140"/>
      <c r="K123" s="140"/>
      <c r="L123" s="157"/>
      <c r="M123" s="157"/>
      <c r="N123" s="157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7"/>
    </row>
    <row r="124" spans="1:29" s="15" customFormat="1" ht="20.100000000000001" customHeight="1">
      <c r="A124" s="556"/>
      <c r="B124" s="160" t="s">
        <v>95</v>
      </c>
      <c r="C124" s="155" t="s">
        <v>199</v>
      </c>
      <c r="D124" s="140"/>
      <c r="E124" s="140"/>
      <c r="F124" s="159"/>
      <c r="G124" s="140"/>
      <c r="H124" s="158"/>
      <c r="I124" s="158"/>
      <c r="J124" s="140"/>
      <c r="K124" s="140"/>
      <c r="L124" s="157"/>
      <c r="M124" s="157"/>
      <c r="N124" s="157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7" t="e">
        <f>SUM(#REF!)</f>
        <v>#REF!</v>
      </c>
    </row>
    <row r="125" spans="1:29" s="15" customFormat="1" ht="20.100000000000001" customHeight="1">
      <c r="A125" s="556"/>
      <c r="B125" s="156" t="s">
        <v>136</v>
      </c>
      <c r="C125" s="155" t="s">
        <v>199</v>
      </c>
      <c r="D125" s="134"/>
      <c r="E125" s="134"/>
      <c r="F125" s="134"/>
      <c r="G125" s="134"/>
      <c r="H125" s="134"/>
      <c r="I125" s="134"/>
      <c r="J125" s="134"/>
      <c r="K125" s="134"/>
      <c r="L125" s="154"/>
      <c r="M125" s="154"/>
      <c r="N125" s="154"/>
      <c r="O125" s="15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7" t="e">
        <f>SUM(#REF!)</f>
        <v>#REF!</v>
      </c>
      <c r="AA125" s="23"/>
    </row>
    <row r="126" spans="1:29" s="15" customFormat="1" ht="20.100000000000001" customHeight="1">
      <c r="A126" s="556"/>
      <c r="B126" s="153" t="s">
        <v>198</v>
      </c>
      <c r="C126" s="151"/>
      <c r="D126" s="126"/>
      <c r="E126" s="126"/>
      <c r="F126" s="126"/>
      <c r="G126" s="126"/>
      <c r="H126" s="126"/>
      <c r="I126" s="126"/>
      <c r="J126" s="126"/>
      <c r="K126" s="145"/>
      <c r="L126" s="144"/>
      <c r="M126" s="144"/>
      <c r="N126" s="144"/>
      <c r="O126" s="146"/>
      <c r="P126" s="126"/>
      <c r="Q126" s="126"/>
      <c r="R126" s="126"/>
      <c r="S126" s="126"/>
      <c r="T126" s="126"/>
      <c r="U126" s="126"/>
      <c r="V126" s="126">
        <f>V87+V89+V88+V94+V93+V96+V95+V97+V90+V99+V122+V105+V98+V100+V110+V102+V109+V104+V106+V124+V108+V107+V103+V111+V113+V115+V112</f>
        <v>0</v>
      </c>
      <c r="W126" s="126">
        <f>W87+W89+W88+W94+W93+W96+W95+W97+W90+W99+W122+W105+W98+W100+W110+W102+W109+W104+W106+W124+W108+W107+W103+W111+W113+W115+W112</f>
        <v>0</v>
      </c>
      <c r="X126" s="126">
        <f>X87+X89+X88+X94+X93+X96+X95+X97+X90+X99+X122+X105+X98+X100+X110+X102+X109+X104+X106+X124+X108+X107+X103+X111+X113+X115+X112</f>
        <v>0</v>
      </c>
      <c r="Y126" s="126">
        <f>Y87+Y89+Y88+Y94+Y93+Y96+Y95+Y97+Y90+Y99+Y122+Y105+Y98+Y100+Y110+Y102+Y109+Y104+Y106+Y124+Y108+Y107+Y103+Y111+Y113+Y115+Y112</f>
        <v>0</v>
      </c>
      <c r="Z126" s="17" t="e">
        <f>SUM(#REF!)</f>
        <v>#REF!</v>
      </c>
      <c r="AB126" s="43" t="e">
        <f>Z127+AA126</f>
        <v>#REF!</v>
      </c>
      <c r="AC126" s="23"/>
    </row>
    <row r="127" spans="1:29" s="15" customFormat="1" ht="20.100000000000001" customHeight="1" thickBot="1">
      <c r="A127" s="556"/>
      <c r="B127" s="152" t="s">
        <v>197</v>
      </c>
      <c r="C127" s="151"/>
      <c r="D127" s="126">
        <v>106200</v>
      </c>
      <c r="E127" s="126"/>
      <c r="F127" s="126"/>
      <c r="G127" s="126"/>
      <c r="H127" s="126"/>
      <c r="I127" s="126"/>
      <c r="J127" s="126"/>
      <c r="K127" s="145"/>
      <c r="L127" s="144"/>
      <c r="M127" s="144"/>
      <c r="N127" s="144"/>
      <c r="O127" s="146"/>
      <c r="P127" s="146"/>
      <c r="Q127" s="126"/>
      <c r="R127" s="126"/>
      <c r="S127" s="126"/>
      <c r="T127" s="145"/>
      <c r="U127" s="150"/>
      <c r="V127" s="149"/>
      <c r="W127" s="146"/>
      <c r="X127" s="126"/>
      <c r="Y127" s="126"/>
      <c r="Z127" s="17" t="e">
        <f>SUM(#REF!)</f>
        <v>#REF!</v>
      </c>
      <c r="AB127" s="43" t="e">
        <f>AB126-AC86</f>
        <v>#REF!</v>
      </c>
    </row>
    <row r="128" spans="1:29" s="15" customFormat="1" ht="20.100000000000001" customHeight="1" thickBot="1">
      <c r="A128" s="550" t="s">
        <v>196</v>
      </c>
      <c r="B128" s="598"/>
      <c r="C128" s="598"/>
      <c r="D128" s="126">
        <f>SUM(D87:D127)</f>
        <v>982667</v>
      </c>
      <c r="E128" s="126"/>
      <c r="F128" s="126"/>
      <c r="G128" s="126"/>
      <c r="H128" s="126"/>
      <c r="I128" s="126"/>
      <c r="J128" s="126"/>
      <c r="K128" s="145"/>
      <c r="L128" s="144"/>
      <c r="M128" s="144"/>
      <c r="N128" s="144"/>
      <c r="O128" s="146"/>
      <c r="P128" s="146"/>
      <c r="Q128" s="126"/>
      <c r="R128" s="126"/>
      <c r="S128" s="126"/>
      <c r="T128" s="145"/>
      <c r="U128" s="148"/>
      <c r="V128" s="147">
        <f>V125+V126</f>
        <v>0</v>
      </c>
      <c r="W128" s="146">
        <f>W125+W126</f>
        <v>0</v>
      </c>
      <c r="X128" s="126">
        <f>X125+X126</f>
        <v>0</v>
      </c>
      <c r="Y128" s="126">
        <f>Y125+Y126</f>
        <v>0</v>
      </c>
      <c r="Z128" s="17" t="e">
        <f>SUM(#REF!)</f>
        <v>#REF!</v>
      </c>
    </row>
    <row r="129" spans="1:26" s="15" customFormat="1" ht="20.100000000000001" customHeight="1">
      <c r="A129" s="550" t="s">
        <v>225</v>
      </c>
      <c r="B129" s="598"/>
      <c r="C129" s="605"/>
      <c r="D129" s="126">
        <v>87645</v>
      </c>
      <c r="E129" s="126"/>
      <c r="F129" s="126"/>
      <c r="G129" s="126"/>
      <c r="H129" s="126"/>
      <c r="I129" s="126"/>
      <c r="J129" s="126"/>
      <c r="K129" s="145"/>
      <c r="L129" s="144"/>
      <c r="M129" s="144"/>
      <c r="N129" s="144"/>
      <c r="O129" s="143"/>
      <c r="P129" s="146"/>
      <c r="Q129" s="126"/>
      <c r="R129" s="126"/>
      <c r="S129" s="126"/>
      <c r="T129" s="145"/>
      <c r="U129" s="150"/>
      <c r="V129" s="149"/>
      <c r="W129" s="146"/>
      <c r="X129" s="126"/>
      <c r="Y129" s="126"/>
      <c r="Z129" s="17"/>
    </row>
    <row r="130" spans="1:26" s="15" customFormat="1" ht="20.100000000000001" customHeight="1">
      <c r="A130" s="599" t="s">
        <v>195</v>
      </c>
      <c r="B130" s="600"/>
      <c r="C130" s="600"/>
      <c r="D130" s="126">
        <f>(D128-D86)-D129</f>
        <v>216617</v>
      </c>
      <c r="E130" s="126"/>
      <c r="F130" s="126"/>
      <c r="G130" s="126"/>
      <c r="H130" s="126"/>
      <c r="I130" s="126"/>
      <c r="J130" s="126"/>
      <c r="K130" s="145"/>
      <c r="L130" s="144"/>
      <c r="M130" s="144"/>
      <c r="N130" s="144"/>
      <c r="O130" s="143"/>
      <c r="P130" s="126"/>
      <c r="Q130" s="126"/>
      <c r="R130" s="126"/>
      <c r="S130" s="126"/>
      <c r="T130" s="126"/>
      <c r="U130" s="142"/>
      <c r="V130" s="142">
        <f>V128-V86</f>
        <v>0</v>
      </c>
      <c r="W130" s="126">
        <f>W128-W86</f>
        <v>0</v>
      </c>
      <c r="X130" s="126">
        <f>X128-X86</f>
        <v>0</v>
      </c>
      <c r="Y130" s="126">
        <f>Y128-Y86</f>
        <v>0</v>
      </c>
      <c r="Z130" s="26" t="e">
        <f>Z128/Z127</f>
        <v>#REF!</v>
      </c>
    </row>
    <row r="131" spans="1:26" s="15" customFormat="1" ht="20.100000000000001" customHeight="1">
      <c r="A131" s="601"/>
      <c r="B131" s="602"/>
      <c r="C131" s="602"/>
      <c r="D131" s="129">
        <f>D130/D128</f>
        <v>0.22043784924089238</v>
      </c>
      <c r="E131" s="129"/>
      <c r="F131" s="129"/>
      <c r="G131" s="129"/>
      <c r="H131" s="129"/>
      <c r="I131" s="129"/>
      <c r="J131" s="129"/>
      <c r="K131" s="129"/>
      <c r="L131" s="141"/>
      <c r="M131" s="141"/>
      <c r="N131" s="141"/>
      <c r="O131" s="129"/>
      <c r="P131" s="129"/>
      <c r="Q131" s="129"/>
      <c r="R131" s="129"/>
      <c r="S131" s="129"/>
      <c r="T131" s="129"/>
      <c r="U131" s="129"/>
      <c r="V131" s="129" t="e">
        <f>V130/V128</f>
        <v>#DIV/0!</v>
      </c>
      <c r="W131" s="129" t="e">
        <f>W130/W128</f>
        <v>#DIV/0!</v>
      </c>
      <c r="X131" s="129" t="e">
        <f>X130/X128</f>
        <v>#DIV/0!</v>
      </c>
      <c r="Y131" s="129" t="e">
        <f>Y130/Y128</f>
        <v>#DIV/0!</v>
      </c>
      <c r="Z131" s="21" t="e">
        <f>SUM(#REF!)</f>
        <v>#REF!</v>
      </c>
    </row>
    <row r="132" spans="1:26" s="15" customFormat="1" ht="20.100000000000001" customHeight="1">
      <c r="A132" s="576" t="s">
        <v>194</v>
      </c>
      <c r="B132" s="577" t="s">
        <v>193</v>
      </c>
      <c r="C132" s="578"/>
      <c r="D132" s="126">
        <f>D11-D9</f>
        <v>4822.3684210526408</v>
      </c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>
        <f>(V5-V3)+(V11-V9)</f>
        <v>0</v>
      </c>
      <c r="W132" s="126">
        <f>(W5-W3)+(W11-W9)</f>
        <v>0</v>
      </c>
      <c r="X132" s="126"/>
      <c r="Y132" s="126"/>
      <c r="Z132" s="24" t="e">
        <f>Z131/(Z11+Z5)</f>
        <v>#REF!</v>
      </c>
    </row>
    <row r="133" spans="1:26" s="15" customFormat="1" ht="20.100000000000001" customHeight="1">
      <c r="A133" s="576"/>
      <c r="B133" s="577" t="s">
        <v>192</v>
      </c>
      <c r="C133" s="578"/>
      <c r="D133" s="212">
        <f>D132/D11</f>
        <v>5.0000000000000093E-2</v>
      </c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 t="e">
        <f>V132/(V11+V5)</f>
        <v>#DIV/0!</v>
      </c>
      <c r="W133" s="129" t="e">
        <f>W132/(W11+W5)</f>
        <v>#DIV/0!</v>
      </c>
      <c r="X133" s="129"/>
      <c r="Y133" s="129"/>
      <c r="Z133" s="21" t="e">
        <f>SUM(#REF!)</f>
        <v>#REF!</v>
      </c>
    </row>
    <row r="134" spans="1:26" s="15" customFormat="1" ht="20.100000000000001" customHeight="1">
      <c r="A134" s="579" t="s">
        <v>44</v>
      </c>
      <c r="B134" s="574" t="s">
        <v>191</v>
      </c>
      <c r="C134" s="575"/>
      <c r="D134" s="140">
        <f>D87-D5</f>
        <v>0</v>
      </c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>
        <f>W87-W5</f>
        <v>0</v>
      </c>
      <c r="X134" s="140"/>
      <c r="Y134" s="140"/>
      <c r="Z134" s="26" t="e">
        <f>Z133/Z87</f>
        <v>#REF!</v>
      </c>
    </row>
    <row r="135" spans="1:26" s="15" customFormat="1" ht="20.100000000000001" customHeight="1">
      <c r="A135" s="580"/>
      <c r="B135" s="574"/>
      <c r="C135" s="575"/>
      <c r="D135" s="129" t="e">
        <f>D134/D87</f>
        <v>#DIV/0!</v>
      </c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21" t="e">
        <f>SUM(#REF!)</f>
        <v>#REF!</v>
      </c>
    </row>
    <row r="136" spans="1:26" s="15" customFormat="1" ht="20.100000000000001" customHeight="1">
      <c r="A136" s="580"/>
      <c r="B136" s="574" t="s">
        <v>190</v>
      </c>
      <c r="C136" s="575"/>
      <c r="D136" s="139">
        <f>D88-D7</f>
        <v>82448</v>
      </c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>
        <f>V88-V7</f>
        <v>0</v>
      </c>
      <c r="W136" s="139">
        <f>W88-W7</f>
        <v>0</v>
      </c>
      <c r="X136" s="139"/>
      <c r="Y136" s="139"/>
      <c r="Z136" s="24" t="e">
        <f>Z135/Z88</f>
        <v>#REF!</v>
      </c>
    </row>
    <row r="137" spans="1:26" s="15" customFormat="1" ht="20.100000000000001" customHeight="1">
      <c r="A137" s="580"/>
      <c r="B137" s="574"/>
      <c r="C137" s="575"/>
      <c r="D137" s="129">
        <f>D136/D88</f>
        <v>0.25975400746042948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 t="e">
        <f>V136/V88</f>
        <v>#DIV/0!</v>
      </c>
      <c r="W137" s="129" t="e">
        <f>W136/W88</f>
        <v>#DIV/0!</v>
      </c>
      <c r="X137" s="129"/>
      <c r="Y137" s="129"/>
      <c r="Z137" s="21" t="e">
        <f>SUM(#REF!)</f>
        <v>#REF!</v>
      </c>
    </row>
    <row r="138" spans="1:26" s="15" customFormat="1" ht="20.100000000000001" customHeight="1">
      <c r="A138" s="580"/>
      <c r="B138" s="574" t="s">
        <v>189</v>
      </c>
      <c r="C138" s="575"/>
      <c r="D138" s="126">
        <f>D89-D9</f>
        <v>35640</v>
      </c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>
        <f>V89-V11</f>
        <v>0</v>
      </c>
      <c r="W138" s="126">
        <f>W89-W11</f>
        <v>0</v>
      </c>
      <c r="X138" s="126"/>
      <c r="Y138" s="126"/>
      <c r="Z138" s="24" t="e">
        <f>Z137/Z89</f>
        <v>#REF!</v>
      </c>
    </row>
    <row r="139" spans="1:26" s="15" customFormat="1" ht="20.100000000000001" customHeight="1">
      <c r="A139" s="580"/>
      <c r="B139" s="574"/>
      <c r="C139" s="575"/>
      <c r="D139" s="129">
        <f>D138/D89</f>
        <v>0.28004557419557619</v>
      </c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 t="e">
        <f>V138/V89</f>
        <v>#DIV/0!</v>
      </c>
      <c r="W139" s="129" t="e">
        <f>W138/W89</f>
        <v>#DIV/0!</v>
      </c>
      <c r="X139" s="129"/>
      <c r="Y139" s="129"/>
      <c r="Z139" s="27" t="e">
        <f>SUM(#REF!)</f>
        <v>#REF!</v>
      </c>
    </row>
    <row r="140" spans="1:26" s="15" customFormat="1" ht="20.100000000000001" customHeight="1">
      <c r="A140" s="580"/>
      <c r="B140" s="574" t="s">
        <v>188</v>
      </c>
      <c r="C140" s="575"/>
      <c r="D140" s="138">
        <f>D90-D13</f>
        <v>0</v>
      </c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>
        <f>W90-W13</f>
        <v>0</v>
      </c>
      <c r="X140" s="138"/>
      <c r="Y140" s="138"/>
      <c r="Z140" s="24" t="e">
        <f>Z139/Z90</f>
        <v>#REF!</v>
      </c>
    </row>
    <row r="141" spans="1:26" s="15" customFormat="1" ht="20.100000000000001" customHeight="1">
      <c r="A141" s="580"/>
      <c r="B141" s="574"/>
      <c r="C141" s="575"/>
      <c r="D141" s="129" t="e">
        <f>D140/D90</f>
        <v>#DIV/0!</v>
      </c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 t="e">
        <f>W140/W90</f>
        <v>#DIV/0!</v>
      </c>
      <c r="X141" s="129"/>
      <c r="Y141" s="129"/>
      <c r="Z141" s="21" t="e">
        <f>SUM(#REF!)</f>
        <v>#REF!</v>
      </c>
    </row>
    <row r="142" spans="1:26" s="15" customFormat="1" ht="20.100000000000001" customHeight="1">
      <c r="A142" s="580"/>
      <c r="B142" s="582" t="s">
        <v>187</v>
      </c>
      <c r="C142" s="439"/>
      <c r="D142" s="113">
        <f>D91-D15</f>
        <v>0</v>
      </c>
      <c r="E142" s="113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>
        <f>W93-W15</f>
        <v>0</v>
      </c>
      <c r="X142" s="135"/>
      <c r="Y142" s="135"/>
      <c r="Z142" s="24" t="e">
        <f>Z141/Z93</f>
        <v>#REF!</v>
      </c>
    </row>
    <row r="143" spans="1:26" s="15" customFormat="1" ht="20.100000000000001" customHeight="1">
      <c r="A143" s="580"/>
      <c r="B143" s="582"/>
      <c r="C143" s="439"/>
      <c r="D143" s="114" t="e">
        <f>D142/D91</f>
        <v>#DIV/0!</v>
      </c>
      <c r="E143" s="114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 t="e">
        <f>W142/W93</f>
        <v>#DIV/0!</v>
      </c>
      <c r="X143" s="132"/>
      <c r="Y143" s="132"/>
      <c r="Z143" s="21" t="e">
        <f>SUM(#REF!)</f>
        <v>#REF!</v>
      </c>
    </row>
    <row r="144" spans="1:26" s="15" customFormat="1" ht="20.100000000000001" customHeight="1">
      <c r="A144" s="580"/>
      <c r="B144" s="582" t="s">
        <v>49</v>
      </c>
      <c r="C144" s="439"/>
      <c r="D144" s="74">
        <f>D92-D17</f>
        <v>0</v>
      </c>
      <c r="E144" s="7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>
        <f>W94-W17</f>
        <v>0</v>
      </c>
      <c r="X144" s="134"/>
      <c r="Y144" s="134"/>
      <c r="Z144" s="24" t="e">
        <f>Z143/Z94</f>
        <v>#REF!</v>
      </c>
    </row>
    <row r="145" spans="1:26" s="15" customFormat="1" ht="20.100000000000001" customHeight="1">
      <c r="A145" s="580"/>
      <c r="B145" s="582"/>
      <c r="C145" s="439"/>
      <c r="D145" s="114" t="e">
        <f>D144/D92</f>
        <v>#DIV/0!</v>
      </c>
      <c r="E145" s="114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 t="e">
        <f>W144/W94</f>
        <v>#DIV/0!</v>
      </c>
      <c r="X145" s="132"/>
      <c r="Y145" s="132"/>
      <c r="Z145" s="21" t="e">
        <f>SUM(#REF!)</f>
        <v>#REF!</v>
      </c>
    </row>
    <row r="146" spans="1:26" s="15" customFormat="1" ht="20.100000000000001" customHeight="1">
      <c r="A146" s="580"/>
      <c r="B146" s="582" t="s">
        <v>186</v>
      </c>
      <c r="C146" s="439"/>
      <c r="D146" s="75">
        <f>D93-D19</f>
        <v>0</v>
      </c>
      <c r="E146" s="75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>
        <f>W95-W19</f>
        <v>0</v>
      </c>
      <c r="X146" s="126"/>
      <c r="Y146" s="126"/>
      <c r="Z146" s="24" t="e">
        <f>Z145/Z95</f>
        <v>#REF!</v>
      </c>
    </row>
    <row r="147" spans="1:26" s="15" customFormat="1" ht="20.100000000000001" customHeight="1">
      <c r="A147" s="580"/>
      <c r="B147" s="582"/>
      <c r="C147" s="439"/>
      <c r="D147" s="115" t="e">
        <f>D146/D93</f>
        <v>#DIV/0!</v>
      </c>
      <c r="E147" s="115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 t="e">
        <f>W146/W95</f>
        <v>#DIV/0!</v>
      </c>
      <c r="X147" s="129"/>
      <c r="Y147" s="129"/>
      <c r="Z147" s="21" t="e">
        <f>SUM(#REF!)</f>
        <v>#REF!</v>
      </c>
    </row>
    <row r="148" spans="1:26" s="15" customFormat="1" ht="20.100000000000001" customHeight="1">
      <c r="A148" s="580"/>
      <c r="B148" s="418" t="s">
        <v>185</v>
      </c>
      <c r="C148" s="440"/>
      <c r="D148" s="113">
        <f>D94-D21</f>
        <v>0</v>
      </c>
      <c r="E148" s="113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>
        <f>W96-W21</f>
        <v>0</v>
      </c>
      <c r="X148" s="135"/>
      <c r="Y148" s="135"/>
      <c r="Z148" s="24" t="e">
        <f>Z147/Z96</f>
        <v>#REF!</v>
      </c>
    </row>
    <row r="149" spans="1:26" s="15" customFormat="1" ht="20.100000000000001" customHeight="1">
      <c r="A149" s="580"/>
      <c r="B149" s="420"/>
      <c r="C149" s="441"/>
      <c r="D149" s="114" t="e">
        <f>D148/D94</f>
        <v>#DIV/0!</v>
      </c>
      <c r="E149" s="114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 t="e">
        <f>W148/W96</f>
        <v>#DIV/0!</v>
      </c>
      <c r="X149" s="132"/>
      <c r="Y149" s="132"/>
      <c r="Z149" s="21" t="e">
        <f>SUM(#REF!)</f>
        <v>#REF!</v>
      </c>
    </row>
    <row r="150" spans="1:26" s="15" customFormat="1" ht="20.100000000000001" customHeight="1">
      <c r="A150" s="580"/>
      <c r="B150" s="418" t="s">
        <v>184</v>
      </c>
      <c r="C150" s="440"/>
      <c r="D150" s="113">
        <f>D95-D23</f>
        <v>0</v>
      </c>
      <c r="E150" s="113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>
        <f>W97-W23</f>
        <v>0</v>
      </c>
      <c r="X150" s="135"/>
      <c r="Y150" s="135"/>
      <c r="Z150" s="24" t="e">
        <f>Z149/Z97</f>
        <v>#REF!</v>
      </c>
    </row>
    <row r="151" spans="1:26" s="15" customFormat="1" ht="20.100000000000001" customHeight="1">
      <c r="A151" s="580"/>
      <c r="B151" s="420"/>
      <c r="C151" s="441"/>
      <c r="D151" s="114" t="e">
        <f>D150/D95</f>
        <v>#DIV/0!</v>
      </c>
      <c r="E151" s="114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 t="e">
        <f>W150/W97</f>
        <v>#DIV/0!</v>
      </c>
      <c r="X151" s="132"/>
      <c r="Y151" s="132"/>
      <c r="Z151" s="28" t="e">
        <f>SUM(#REF!)</f>
        <v>#REF!</v>
      </c>
    </row>
    <row r="152" spans="1:26" s="15" customFormat="1" ht="20.100000000000001" customHeight="1">
      <c r="A152" s="580"/>
      <c r="B152" s="416" t="s">
        <v>183</v>
      </c>
      <c r="C152" s="116"/>
      <c r="D152" s="113">
        <f>D96-D25</f>
        <v>0</v>
      </c>
      <c r="E152" s="113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>
        <f>W98-W25</f>
        <v>0</v>
      </c>
      <c r="X152" s="135"/>
      <c r="Y152" s="135"/>
      <c r="Z152" s="24" t="e">
        <f>Z151/Z98</f>
        <v>#REF!</v>
      </c>
    </row>
    <row r="153" spans="1:26" s="15" customFormat="1" ht="20.100000000000001" customHeight="1">
      <c r="A153" s="580"/>
      <c r="B153" s="417"/>
      <c r="C153" s="116"/>
      <c r="D153" s="114" t="e">
        <f>D152/D96</f>
        <v>#DIV/0!</v>
      </c>
      <c r="E153" s="114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 t="e">
        <f>W152/W98</f>
        <v>#DIV/0!</v>
      </c>
      <c r="X153" s="132"/>
      <c r="Y153" s="132"/>
      <c r="Z153" s="21" t="e">
        <f>SUM(#REF!)</f>
        <v>#REF!</v>
      </c>
    </row>
    <row r="154" spans="1:26" s="15" customFormat="1" ht="20.100000000000001" customHeight="1">
      <c r="A154" s="580"/>
      <c r="B154" s="418" t="s">
        <v>182</v>
      </c>
      <c r="C154" s="440"/>
      <c r="D154" s="113">
        <f>D97-D27</f>
        <v>0</v>
      </c>
      <c r="E154" s="113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>
        <f>W99-W27</f>
        <v>0</v>
      </c>
      <c r="X154" s="135"/>
      <c r="Y154" s="135"/>
      <c r="Z154" s="24" t="e">
        <f>Z153/Z99</f>
        <v>#REF!</v>
      </c>
    </row>
    <row r="155" spans="1:26" s="15" customFormat="1" ht="20.100000000000001" customHeight="1">
      <c r="A155" s="580"/>
      <c r="B155" s="420"/>
      <c r="C155" s="441"/>
      <c r="D155" s="114" t="e">
        <f>D154/D97</f>
        <v>#DIV/0!</v>
      </c>
      <c r="E155" s="114"/>
      <c r="F155" s="132"/>
      <c r="G155" s="137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 t="e">
        <f>W154/W99</f>
        <v>#DIV/0!</v>
      </c>
      <c r="X155" s="132"/>
      <c r="Y155" s="132"/>
      <c r="Z155" s="27" t="e">
        <f>SUM(#REF!)</f>
        <v>#REF!</v>
      </c>
    </row>
    <row r="156" spans="1:26" s="15" customFormat="1" ht="20.100000000000001" customHeight="1">
      <c r="A156" s="580"/>
      <c r="B156" s="416" t="s">
        <v>181</v>
      </c>
      <c r="C156" s="436"/>
      <c r="D156" s="113">
        <f>D98-D29</f>
        <v>21656</v>
      </c>
      <c r="E156" s="113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>
        <f>W100-W29</f>
        <v>0</v>
      </c>
      <c r="X156" s="135"/>
      <c r="Y156" s="135"/>
      <c r="Z156" s="24" t="e">
        <f>Z155/Z100</f>
        <v>#REF!</v>
      </c>
    </row>
    <row r="157" spans="1:26" s="15" customFormat="1" ht="20.100000000000001" customHeight="1">
      <c r="A157" s="580"/>
      <c r="B157" s="417"/>
      <c r="C157" s="437"/>
      <c r="D157" s="114">
        <f>D156/D98</f>
        <v>0.28002482673011275</v>
      </c>
      <c r="E157" s="114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 t="e">
        <f>W156/W100</f>
        <v>#DIV/0!</v>
      </c>
      <c r="X157" s="132"/>
      <c r="Y157" s="132"/>
      <c r="Z157" s="54" t="e">
        <f>SUM(#REF!)</f>
        <v>#REF!</v>
      </c>
    </row>
    <row r="158" spans="1:26" s="15" customFormat="1" ht="20.100000000000001" customHeight="1">
      <c r="A158" s="580"/>
      <c r="B158" s="416" t="s">
        <v>180</v>
      </c>
      <c r="C158" s="116"/>
      <c r="D158" s="113">
        <f>D100-D33</f>
        <v>0</v>
      </c>
      <c r="E158" s="113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>
        <f>W101-W37</f>
        <v>0</v>
      </c>
      <c r="X158" s="135"/>
      <c r="Y158" s="135"/>
      <c r="Z158" s="24" t="e">
        <f>Z157/Z101</f>
        <v>#REF!</v>
      </c>
    </row>
    <row r="159" spans="1:26" s="15" customFormat="1" ht="20.100000000000001" customHeight="1">
      <c r="A159" s="580"/>
      <c r="B159" s="417"/>
      <c r="C159" s="116"/>
      <c r="D159" s="114" t="e">
        <f>D158/D100</f>
        <v>#DIV/0!</v>
      </c>
      <c r="E159" s="114"/>
      <c r="F159" s="132"/>
      <c r="G159" s="137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 t="e">
        <f>W158/W101</f>
        <v>#DIV/0!</v>
      </c>
      <c r="X159" s="132"/>
      <c r="Y159" s="132"/>
      <c r="Z159" s="27" t="e">
        <f>SUM(#REF!)</f>
        <v>#REF!</v>
      </c>
    </row>
    <row r="160" spans="1:26" s="15" customFormat="1" ht="20.100000000000001" customHeight="1">
      <c r="A160" s="580"/>
      <c r="B160" s="416" t="s">
        <v>179</v>
      </c>
      <c r="C160" s="436"/>
      <c r="D160" s="113">
        <f>D101-D35</f>
        <v>0</v>
      </c>
      <c r="E160" s="113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>
        <f>W102-W39</f>
        <v>0</v>
      </c>
      <c r="X160" s="135"/>
      <c r="Y160" s="135"/>
      <c r="Z160" s="24" t="e">
        <f>Z159/Z102</f>
        <v>#REF!</v>
      </c>
    </row>
    <row r="161" spans="1:31" s="15" customFormat="1" ht="20.100000000000001" customHeight="1">
      <c r="A161" s="580"/>
      <c r="B161" s="417"/>
      <c r="C161" s="437"/>
      <c r="D161" s="114" t="e">
        <f>D160/D101</f>
        <v>#DIV/0!</v>
      </c>
      <c r="E161" s="114"/>
      <c r="F161" s="132"/>
      <c r="G161" s="137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 t="e">
        <f>W160/W102</f>
        <v>#DIV/0!</v>
      </c>
      <c r="X161" s="132"/>
      <c r="Y161" s="132"/>
      <c r="Z161" s="28" t="e">
        <f>SUM(#REF!)</f>
        <v>#REF!</v>
      </c>
    </row>
    <row r="162" spans="1:31" s="15" customFormat="1" ht="20.100000000000001" customHeight="1">
      <c r="A162" s="580"/>
      <c r="B162" s="416" t="s">
        <v>53</v>
      </c>
      <c r="C162" s="434"/>
      <c r="D162" s="114"/>
      <c r="E162" s="114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5"/>
      <c r="R162" s="135"/>
      <c r="S162" s="135"/>
      <c r="T162" s="135"/>
      <c r="U162" s="135"/>
      <c r="V162" s="135">
        <f>V103-V43</f>
        <v>0</v>
      </c>
      <c r="W162" s="135">
        <f>W103-W43</f>
        <v>0</v>
      </c>
      <c r="X162" s="132"/>
      <c r="Y162" s="132"/>
      <c r="Z162" s="24" t="e">
        <f>Z161/Z103</f>
        <v>#REF!</v>
      </c>
    </row>
    <row r="163" spans="1:31" s="15" customFormat="1" ht="20.100000000000001" customHeight="1">
      <c r="A163" s="580"/>
      <c r="B163" s="417"/>
      <c r="C163" s="435"/>
      <c r="D163" s="114"/>
      <c r="E163" s="114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 t="e">
        <f>V162/V103</f>
        <v>#DIV/0!</v>
      </c>
      <c r="W163" s="132" t="e">
        <f>W162/W103</f>
        <v>#DIV/0!</v>
      </c>
      <c r="X163" s="132"/>
      <c r="Y163" s="132"/>
      <c r="Z163" s="27" t="e">
        <f>SUM(#REF!)</f>
        <v>#REF!</v>
      </c>
    </row>
    <row r="164" spans="1:31" s="15" customFormat="1" ht="20.100000000000001" customHeight="1">
      <c r="A164" s="580"/>
      <c r="B164" s="416" t="s">
        <v>178</v>
      </c>
      <c r="C164" s="436"/>
      <c r="D164" s="113">
        <f>D103-D39</f>
        <v>0</v>
      </c>
      <c r="E164" s="113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>
        <f>W104-W45</f>
        <v>0</v>
      </c>
      <c r="X164" s="135"/>
      <c r="Y164" s="135"/>
      <c r="Z164" s="24" t="e">
        <f>Z163/Z104</f>
        <v>#REF!</v>
      </c>
    </row>
    <row r="165" spans="1:31" s="15" customFormat="1" ht="20.100000000000001" customHeight="1">
      <c r="A165" s="580"/>
      <c r="B165" s="417"/>
      <c r="C165" s="437"/>
      <c r="D165" s="114" t="e">
        <f>D164/D103</f>
        <v>#DIV/0!</v>
      </c>
      <c r="E165" s="114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 t="e">
        <f>W164/W104</f>
        <v>#DIV/0!</v>
      </c>
      <c r="X165" s="132"/>
      <c r="Y165" s="132"/>
      <c r="Z165" s="27" t="e">
        <f>SUM(#REF!)</f>
        <v>#REF!</v>
      </c>
    </row>
    <row r="166" spans="1:31" s="15" customFormat="1" ht="20.100000000000001" customHeight="1">
      <c r="A166" s="580"/>
      <c r="B166" s="416" t="s">
        <v>177</v>
      </c>
      <c r="C166" s="436"/>
      <c r="D166" s="113">
        <f>D104-D41</f>
        <v>0</v>
      </c>
      <c r="E166" s="113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>
        <f>W105-W33</f>
        <v>0</v>
      </c>
      <c r="X166" s="135"/>
      <c r="Y166" s="135"/>
      <c r="Z166" s="24" t="e">
        <f>Z165/Z105</f>
        <v>#REF!</v>
      </c>
    </row>
    <row r="167" spans="1:31" s="15" customFormat="1" ht="20.100000000000001" customHeight="1">
      <c r="A167" s="580"/>
      <c r="B167" s="417"/>
      <c r="C167" s="437"/>
      <c r="D167" s="114" t="e">
        <f>D166/D104</f>
        <v>#DIV/0!</v>
      </c>
      <c r="E167" s="114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 t="e">
        <f>W166/W105</f>
        <v>#DIV/0!</v>
      </c>
      <c r="X167" s="132"/>
      <c r="Y167" s="132"/>
      <c r="Z167" s="27" t="e">
        <f>SUM(#REF!)</f>
        <v>#REF!</v>
      </c>
    </row>
    <row r="168" spans="1:31" s="15" customFormat="1" ht="20.100000000000001" customHeight="1">
      <c r="A168" s="580"/>
      <c r="B168" s="416" t="s">
        <v>176</v>
      </c>
      <c r="C168" s="436"/>
      <c r="D168" s="113">
        <f>D105-D43</f>
        <v>0</v>
      </c>
      <c r="E168" s="113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>
        <f>W106-W47</f>
        <v>0</v>
      </c>
      <c r="X168" s="135"/>
      <c r="Y168" s="135"/>
      <c r="Z168" s="24" t="e">
        <f>Z167/Z106</f>
        <v>#REF!</v>
      </c>
    </row>
    <row r="169" spans="1:31" s="15" customFormat="1" ht="20.100000000000001" customHeight="1">
      <c r="A169" s="580"/>
      <c r="B169" s="417"/>
      <c r="C169" s="437"/>
      <c r="D169" s="114" t="e">
        <f>D168/D105</f>
        <v>#DIV/0!</v>
      </c>
      <c r="E169" s="114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 t="e">
        <f>W168/W106</f>
        <v>#DIV/0!</v>
      </c>
      <c r="X169" s="132"/>
      <c r="Y169" s="132"/>
      <c r="Z169" s="54" t="e">
        <f>SUM(#REF!)</f>
        <v>#REF!</v>
      </c>
    </row>
    <row r="170" spans="1:31" s="15" customFormat="1" ht="20.100000000000001" customHeight="1">
      <c r="A170" s="580"/>
      <c r="B170" s="416" t="s">
        <v>128</v>
      </c>
      <c r="C170" s="436"/>
      <c r="D170" s="113">
        <f>D106-D45</f>
        <v>20180</v>
      </c>
      <c r="E170" s="113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>
        <f>W107-W51</f>
        <v>0</v>
      </c>
      <c r="X170" s="135"/>
      <c r="Y170" s="135"/>
      <c r="Z170" s="24" t="e">
        <f>Z169/Z107</f>
        <v>#REF!</v>
      </c>
    </row>
    <row r="171" spans="1:31" s="15" customFormat="1" ht="20.100000000000001" customHeight="1">
      <c r="A171" s="580"/>
      <c r="B171" s="417"/>
      <c r="C171" s="437"/>
      <c r="D171" s="114">
        <f>D170/D106</f>
        <v>0.26187386452115236</v>
      </c>
      <c r="E171" s="114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 t="e">
        <f>W170/W107</f>
        <v>#DIV/0!</v>
      </c>
      <c r="X171" s="132"/>
      <c r="Y171" s="132"/>
      <c r="Z171" s="28" t="e">
        <f>SUM(#REF!)</f>
        <v>#REF!</v>
      </c>
    </row>
    <row r="172" spans="1:31" s="33" customFormat="1" ht="20.100000000000001" customHeight="1">
      <c r="A172" s="580"/>
      <c r="B172" s="416" t="s">
        <v>175</v>
      </c>
      <c r="C172" s="434"/>
      <c r="D172" s="113"/>
      <c r="E172" s="113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>
        <f>V108-V55</f>
        <v>0</v>
      </c>
      <c r="W172" s="135">
        <f>W108-W55</f>
        <v>0</v>
      </c>
      <c r="X172" s="135"/>
      <c r="Y172" s="135"/>
      <c r="Z172" s="24" t="e">
        <f>Z171/Z108</f>
        <v>#REF!</v>
      </c>
      <c r="AA172" s="15"/>
      <c r="AB172" s="15"/>
      <c r="AC172" s="15"/>
      <c r="AD172" s="15"/>
      <c r="AE172" s="15"/>
    </row>
    <row r="173" spans="1:31" s="33" customFormat="1" ht="20.100000000000001" customHeight="1">
      <c r="A173" s="580"/>
      <c r="B173" s="417"/>
      <c r="C173" s="435"/>
      <c r="D173" s="114"/>
      <c r="E173" s="114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 t="e">
        <f>V172/V108</f>
        <v>#DIV/0!</v>
      </c>
      <c r="W173" s="132" t="e">
        <f>W172/W108</f>
        <v>#DIV/0!</v>
      </c>
      <c r="X173" s="132"/>
      <c r="Y173" s="132"/>
      <c r="Z173" s="27" t="e">
        <f>SUM(#REF!)</f>
        <v>#REF!</v>
      </c>
      <c r="AA173" s="15"/>
      <c r="AB173" s="15"/>
      <c r="AC173" s="15"/>
      <c r="AD173" s="15"/>
      <c r="AE173" s="15"/>
    </row>
    <row r="174" spans="1:31" s="33" customFormat="1" ht="20.100000000000001" customHeight="1">
      <c r="A174" s="580"/>
      <c r="B174" s="416" t="s">
        <v>174</v>
      </c>
      <c r="C174" s="436"/>
      <c r="D174" s="113"/>
      <c r="E174" s="113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>
        <f>(W109-W41)</f>
        <v>0</v>
      </c>
      <c r="X174" s="135"/>
      <c r="Y174" s="135"/>
      <c r="Z174" s="24" t="e">
        <f>Z173/Z109</f>
        <v>#REF!</v>
      </c>
      <c r="AA174" s="15"/>
      <c r="AB174" s="15"/>
      <c r="AC174" s="15"/>
      <c r="AD174" s="15"/>
      <c r="AE174" s="15"/>
    </row>
    <row r="175" spans="1:31" s="33" customFormat="1" ht="20.100000000000001" customHeight="1">
      <c r="A175" s="580"/>
      <c r="B175" s="417"/>
      <c r="C175" s="437"/>
      <c r="D175" s="114"/>
      <c r="E175" s="114"/>
      <c r="F175" s="132"/>
      <c r="G175" s="137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 t="e">
        <f>W174/W109</f>
        <v>#DIV/0!</v>
      </c>
      <c r="X175" s="132"/>
      <c r="Y175" s="132"/>
      <c r="Z175" s="24"/>
      <c r="AA175" s="15"/>
      <c r="AB175" s="15"/>
      <c r="AC175" s="15"/>
      <c r="AD175" s="15"/>
      <c r="AE175" s="15"/>
    </row>
    <row r="176" spans="1:31" s="33" customFormat="1" ht="20.100000000000001" customHeight="1">
      <c r="A176" s="580"/>
      <c r="B176" s="416" t="s">
        <v>107</v>
      </c>
      <c r="C176" s="116"/>
      <c r="D176" s="114"/>
      <c r="E176" s="114"/>
      <c r="F176" s="132"/>
      <c r="G176" s="137"/>
      <c r="H176" s="132"/>
      <c r="I176" s="132"/>
      <c r="J176" s="135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24"/>
      <c r="AA176" s="15"/>
      <c r="AB176" s="15"/>
      <c r="AC176" s="15"/>
      <c r="AD176" s="15"/>
      <c r="AE176" s="15"/>
    </row>
    <row r="177" spans="1:31" s="33" customFormat="1" ht="20.100000000000001" customHeight="1">
      <c r="A177" s="580"/>
      <c r="B177" s="417"/>
      <c r="C177" s="116"/>
      <c r="D177" s="114"/>
      <c r="E177" s="114"/>
      <c r="F177" s="132"/>
      <c r="G177" s="137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28" t="e">
        <f>SUM(#REF!)</f>
        <v>#REF!</v>
      </c>
      <c r="AA177" s="15"/>
      <c r="AB177" s="15"/>
      <c r="AC177" s="15"/>
      <c r="AD177" s="15"/>
      <c r="AE177" s="15"/>
    </row>
    <row r="178" spans="1:31" s="33" customFormat="1" ht="20.100000000000001" customHeight="1">
      <c r="A178" s="580"/>
      <c r="B178" s="416" t="s">
        <v>173</v>
      </c>
      <c r="C178" s="434"/>
      <c r="D178" s="113"/>
      <c r="E178" s="113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>
        <f>V111-V57</f>
        <v>0</v>
      </c>
      <c r="W178" s="135">
        <f>W111-W57</f>
        <v>0</v>
      </c>
      <c r="X178" s="135">
        <f>X111-X57</f>
        <v>0</v>
      </c>
      <c r="Y178" s="135">
        <f>Y111-Y57</f>
        <v>0</v>
      </c>
      <c r="Z178" s="24" t="e">
        <f>Z177/Z113</f>
        <v>#REF!</v>
      </c>
      <c r="AA178" s="15"/>
      <c r="AB178" s="15"/>
      <c r="AC178" s="15"/>
      <c r="AD178" s="15"/>
      <c r="AE178" s="15"/>
    </row>
    <row r="179" spans="1:31" s="33" customFormat="1" ht="20.100000000000001" customHeight="1">
      <c r="A179" s="580"/>
      <c r="B179" s="417"/>
      <c r="C179" s="435"/>
      <c r="D179" s="114"/>
      <c r="E179" s="114"/>
      <c r="F179" s="132"/>
      <c r="G179" s="137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 t="e">
        <f>V178/V111</f>
        <v>#DIV/0!</v>
      </c>
      <c r="W179" s="132" t="e">
        <f>W178/W111</f>
        <v>#DIV/0!</v>
      </c>
      <c r="X179" s="132" t="e">
        <f>X178/X111</f>
        <v>#DIV/0!</v>
      </c>
      <c r="Y179" s="132" t="e">
        <f>Y178/Y111</f>
        <v>#DIV/0!</v>
      </c>
      <c r="Z179" s="28" t="e">
        <f>SUM(#REF!)</f>
        <v>#REF!</v>
      </c>
      <c r="AA179" s="15"/>
      <c r="AB179" s="15"/>
      <c r="AC179" s="15"/>
      <c r="AD179" s="15"/>
      <c r="AE179" s="15"/>
    </row>
    <row r="180" spans="1:31" s="33" customFormat="1" ht="20.100000000000001" customHeight="1">
      <c r="A180" s="580"/>
      <c r="B180" s="416" t="s">
        <v>172</v>
      </c>
      <c r="C180" s="434"/>
      <c r="D180" s="113">
        <f>D111-D55</f>
        <v>6390</v>
      </c>
      <c r="E180" s="113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>
        <f>V112-V59</f>
        <v>0</v>
      </c>
      <c r="W180" s="135">
        <f>W112-W59</f>
        <v>0</v>
      </c>
      <c r="X180" s="135">
        <f>X112-X59</f>
        <v>0</v>
      </c>
      <c r="Y180" s="135">
        <f>Y112-Y59</f>
        <v>0</v>
      </c>
      <c r="Z180" s="24" t="e">
        <f>Z179/Z118</f>
        <v>#REF!</v>
      </c>
      <c r="AA180" s="15"/>
      <c r="AB180" s="15"/>
      <c r="AC180" s="15"/>
      <c r="AD180" s="15"/>
      <c r="AE180" s="15"/>
    </row>
    <row r="181" spans="1:31" s="33" customFormat="1" ht="20.100000000000001" customHeight="1">
      <c r="A181" s="580"/>
      <c r="B181" s="417"/>
      <c r="C181" s="435"/>
      <c r="D181" s="114">
        <f>D180/D111</f>
        <v>0.26199261992619927</v>
      </c>
      <c r="E181" s="114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 t="e">
        <f>V180/V112</f>
        <v>#DIV/0!</v>
      </c>
      <c r="W181" s="132" t="e">
        <f>W180/W112</f>
        <v>#DIV/0!</v>
      </c>
      <c r="X181" s="132" t="e">
        <f>X180/X112</f>
        <v>#DIV/0!</v>
      </c>
      <c r="Y181" s="132" t="e">
        <f>Y180/Y112</f>
        <v>#DIV/0!</v>
      </c>
      <c r="Z181" s="28" t="e">
        <f>SUM(#REF!)</f>
        <v>#REF!</v>
      </c>
      <c r="AA181" s="15"/>
      <c r="AB181" s="15"/>
      <c r="AC181" s="15"/>
      <c r="AD181" s="15"/>
      <c r="AE181" s="15"/>
    </row>
    <row r="182" spans="1:31" s="33" customFormat="1" ht="20.100000000000001" customHeight="1">
      <c r="A182" s="580"/>
      <c r="B182" s="416" t="s">
        <v>171</v>
      </c>
      <c r="C182" s="434"/>
      <c r="D182" s="113">
        <f>D112-D57</f>
        <v>2720</v>
      </c>
      <c r="E182" s="113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>
        <f>V113-V61</f>
        <v>0</v>
      </c>
      <c r="W182" s="135">
        <f>W113-W61</f>
        <v>0</v>
      </c>
      <c r="X182" s="135">
        <f>X113-X61</f>
        <v>0</v>
      </c>
      <c r="Y182" s="135">
        <f>Y113-Y61</f>
        <v>0</v>
      </c>
      <c r="Z182" s="24" t="e">
        <f>Z181/Z112</f>
        <v>#REF!</v>
      </c>
      <c r="AA182" s="15"/>
      <c r="AB182" s="15"/>
      <c r="AC182" s="15"/>
      <c r="AD182" s="15"/>
      <c r="AE182" s="15"/>
    </row>
    <row r="183" spans="1:31" s="33" customFormat="1" ht="20.100000000000001" customHeight="1">
      <c r="A183" s="580"/>
      <c r="B183" s="417"/>
      <c r="C183" s="435"/>
      <c r="D183" s="114">
        <f>D182/D112</f>
        <v>0.27983539094650206</v>
      </c>
      <c r="E183" s="114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 t="e">
        <f>V182/V113</f>
        <v>#DIV/0!</v>
      </c>
      <c r="W183" s="132" t="e">
        <f>W182/W113</f>
        <v>#DIV/0!</v>
      </c>
      <c r="X183" s="132" t="e">
        <f>X182/X113</f>
        <v>#DIV/0!</v>
      </c>
      <c r="Y183" s="132" t="e">
        <f>Y182/Y113</f>
        <v>#DIV/0!</v>
      </c>
      <c r="Z183" s="28" t="e">
        <f>SUM(#REF!)</f>
        <v>#REF!</v>
      </c>
      <c r="AA183" s="15"/>
      <c r="AB183" s="15"/>
      <c r="AC183" s="15"/>
      <c r="AD183" s="15"/>
      <c r="AE183" s="15"/>
    </row>
    <row r="184" spans="1:31" s="33" customFormat="1" ht="20.100000000000001" customHeight="1">
      <c r="A184" s="580"/>
      <c r="B184" s="416" t="s">
        <v>170</v>
      </c>
      <c r="C184" s="434"/>
      <c r="D184" s="113"/>
      <c r="E184" s="113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>
        <f>V115-V65</f>
        <v>0</v>
      </c>
      <c r="W184" s="135">
        <f>W115-W65</f>
        <v>0</v>
      </c>
      <c r="X184" s="135">
        <f>X115-X65</f>
        <v>0</v>
      </c>
      <c r="Y184" s="135">
        <f>Y115-Y65</f>
        <v>0</v>
      </c>
      <c r="Z184" s="24" t="e">
        <f>Z183/Z116</f>
        <v>#REF!</v>
      </c>
      <c r="AA184" s="15"/>
      <c r="AB184" s="15"/>
      <c r="AC184" s="15"/>
      <c r="AD184" s="15"/>
      <c r="AE184" s="15"/>
    </row>
    <row r="185" spans="1:31" s="33" customFormat="1" ht="20.100000000000001" customHeight="1">
      <c r="A185" s="580"/>
      <c r="B185" s="417"/>
      <c r="C185" s="435"/>
      <c r="D185" s="114"/>
      <c r="E185" s="114"/>
      <c r="F185" s="132"/>
      <c r="G185" s="137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 t="e">
        <f>V184/V115</f>
        <v>#DIV/0!</v>
      </c>
      <c r="W185" s="132" t="e">
        <f>W184/W115</f>
        <v>#DIV/0!</v>
      </c>
      <c r="X185" s="132" t="e">
        <f>X184/X115</f>
        <v>#DIV/0!</v>
      </c>
      <c r="Y185" s="132" t="e">
        <f>Y184/Y115</f>
        <v>#DIV/0!</v>
      </c>
      <c r="Z185" s="24"/>
      <c r="AA185" s="15"/>
      <c r="AB185" s="15"/>
      <c r="AC185" s="15"/>
      <c r="AD185" s="15"/>
      <c r="AE185" s="15"/>
    </row>
    <row r="186" spans="1:31" s="33" customFormat="1" ht="20.100000000000001" customHeight="1">
      <c r="A186" s="580"/>
      <c r="B186" s="416" t="s">
        <v>169</v>
      </c>
      <c r="C186" s="434"/>
      <c r="D186" s="113">
        <f>D116-D65</f>
        <v>102035</v>
      </c>
      <c r="E186" s="114"/>
      <c r="F186" s="132"/>
      <c r="G186" s="135"/>
      <c r="H186" s="132"/>
      <c r="I186" s="132"/>
      <c r="J186" s="135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24"/>
      <c r="AA186" s="15"/>
      <c r="AB186" s="15"/>
      <c r="AC186" s="15"/>
      <c r="AD186" s="15"/>
      <c r="AE186" s="15"/>
    </row>
    <row r="187" spans="1:31" s="33" customFormat="1" ht="20.100000000000001" customHeight="1">
      <c r="A187" s="580"/>
      <c r="B187" s="417"/>
      <c r="C187" s="435"/>
      <c r="D187" s="114">
        <f>D186/D116</f>
        <v>1</v>
      </c>
      <c r="E187" s="114"/>
      <c r="F187" s="132"/>
      <c r="G187" s="137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24"/>
      <c r="AA187" s="15"/>
      <c r="AB187" s="15"/>
      <c r="AC187" s="15"/>
      <c r="AD187" s="15"/>
      <c r="AE187" s="15"/>
    </row>
    <row r="188" spans="1:31" s="33" customFormat="1" ht="20.100000000000001" customHeight="1">
      <c r="A188" s="580"/>
      <c r="B188" s="416" t="s">
        <v>168</v>
      </c>
      <c r="C188" s="434"/>
      <c r="D188" s="113">
        <f>D117-D67</f>
        <v>33193</v>
      </c>
      <c r="E188" s="114"/>
      <c r="F188" s="132"/>
      <c r="G188" s="135"/>
      <c r="H188" s="132"/>
      <c r="I188" s="132"/>
      <c r="J188" s="135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24"/>
      <c r="AA188" s="15"/>
      <c r="AB188" s="15"/>
      <c r="AC188" s="15"/>
      <c r="AD188" s="15"/>
      <c r="AE188" s="15"/>
    </row>
    <row r="189" spans="1:31" s="33" customFormat="1" ht="20.100000000000001" customHeight="1">
      <c r="A189" s="580"/>
      <c r="B189" s="417"/>
      <c r="C189" s="435"/>
      <c r="D189" s="114">
        <f>D188/D117</f>
        <v>0.23498969933381947</v>
      </c>
      <c r="E189" s="114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24"/>
      <c r="AA189" s="15"/>
      <c r="AB189" s="15"/>
      <c r="AC189" s="15"/>
      <c r="AD189" s="15"/>
      <c r="AE189" s="15"/>
    </row>
    <row r="190" spans="1:31" s="33" customFormat="1" ht="20.100000000000001" customHeight="1">
      <c r="A190" s="580"/>
      <c r="B190" s="416" t="s">
        <v>167</v>
      </c>
      <c r="C190" s="434"/>
      <c r="D190" s="113">
        <f>D118-D69</f>
        <v>0</v>
      </c>
      <c r="E190" s="113"/>
      <c r="F190" s="132"/>
      <c r="G190" s="135"/>
      <c r="H190" s="132"/>
      <c r="I190" s="132"/>
      <c r="J190" s="135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24"/>
      <c r="AA190" s="15"/>
      <c r="AB190" s="15"/>
      <c r="AC190" s="15"/>
      <c r="AD190" s="15"/>
      <c r="AE190" s="15"/>
    </row>
    <row r="191" spans="1:31" s="33" customFormat="1" ht="20.100000000000001" customHeight="1">
      <c r="A191" s="580"/>
      <c r="B191" s="417"/>
      <c r="C191" s="435"/>
      <c r="D191" s="114" t="e">
        <f>D190/D118</f>
        <v>#DIV/0!</v>
      </c>
      <c r="E191" s="114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24"/>
      <c r="AA191" s="15"/>
      <c r="AB191" s="15"/>
      <c r="AC191" s="15"/>
      <c r="AD191" s="15"/>
      <c r="AE191" s="15"/>
    </row>
    <row r="192" spans="1:31" s="33" customFormat="1" ht="20.100000000000001" customHeight="1">
      <c r="A192" s="580"/>
      <c r="B192" s="416" t="s">
        <v>166</v>
      </c>
      <c r="C192" s="434"/>
      <c r="D192" s="113">
        <f>D119-D71</f>
        <v>0</v>
      </c>
      <c r="E192" s="114"/>
      <c r="F192" s="132"/>
      <c r="G192" s="135"/>
      <c r="H192" s="132"/>
      <c r="I192" s="132"/>
      <c r="J192" s="135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24"/>
      <c r="AA192" s="15"/>
      <c r="AB192" s="15"/>
      <c r="AC192" s="15"/>
      <c r="AD192" s="15"/>
      <c r="AE192" s="15"/>
    </row>
    <row r="193" spans="1:31" s="33" customFormat="1" ht="20.100000000000001" customHeight="1">
      <c r="A193" s="580"/>
      <c r="B193" s="417"/>
      <c r="C193" s="435"/>
      <c r="D193" s="114" t="e">
        <f>D192/D119</f>
        <v>#DIV/0!</v>
      </c>
      <c r="E193" s="114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24"/>
      <c r="AA193" s="15"/>
      <c r="AB193" s="15"/>
      <c r="AC193" s="15"/>
      <c r="AD193" s="15"/>
      <c r="AE193" s="15"/>
    </row>
    <row r="194" spans="1:31" s="33" customFormat="1" ht="20.100000000000001" customHeight="1">
      <c r="A194" s="580"/>
      <c r="B194" s="416" t="s">
        <v>165</v>
      </c>
      <c r="C194" s="434"/>
      <c r="D194" s="114"/>
      <c r="E194" s="114"/>
      <c r="F194" s="132"/>
      <c r="G194" s="135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24"/>
      <c r="AA194" s="15"/>
      <c r="AB194" s="15"/>
      <c r="AC194" s="15"/>
      <c r="AD194" s="15"/>
      <c r="AE194" s="15"/>
    </row>
    <row r="195" spans="1:31" s="33" customFormat="1" ht="20.100000000000001" customHeight="1">
      <c r="A195" s="580"/>
      <c r="B195" s="417"/>
      <c r="C195" s="435"/>
      <c r="D195" s="114"/>
      <c r="E195" s="114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24"/>
      <c r="AA195" s="15"/>
      <c r="AB195" s="15"/>
      <c r="AC195" s="15"/>
      <c r="AD195" s="15"/>
      <c r="AE195" s="15"/>
    </row>
    <row r="196" spans="1:31" s="33" customFormat="1" ht="20.100000000000001" customHeight="1">
      <c r="A196" s="580"/>
      <c r="B196" s="416" t="s">
        <v>164</v>
      </c>
      <c r="C196" s="434"/>
      <c r="D196" s="113">
        <f>D121-D75</f>
        <v>0</v>
      </c>
      <c r="E196" s="113"/>
      <c r="F196" s="132"/>
      <c r="G196" s="135"/>
      <c r="H196" s="132"/>
      <c r="I196" s="132"/>
      <c r="J196" s="135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24"/>
      <c r="AA196" s="15"/>
      <c r="AB196" s="15"/>
      <c r="AC196" s="15"/>
      <c r="AD196" s="15"/>
      <c r="AE196" s="15"/>
    </row>
    <row r="197" spans="1:31" s="33" customFormat="1" ht="20.100000000000001" customHeight="1">
      <c r="A197" s="580"/>
      <c r="B197" s="417"/>
      <c r="C197" s="435"/>
      <c r="D197" s="114" t="e">
        <f>D196/D121</f>
        <v>#DIV/0!</v>
      </c>
      <c r="E197" s="114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24"/>
      <c r="AA197" s="15"/>
      <c r="AB197" s="15"/>
      <c r="AC197" s="15"/>
      <c r="AD197" s="15"/>
      <c r="AE197" s="15"/>
    </row>
    <row r="198" spans="1:31" s="33" customFormat="1" ht="20.100000000000001" customHeight="1">
      <c r="A198" s="580"/>
      <c r="B198" s="416" t="s">
        <v>163</v>
      </c>
      <c r="C198" s="434"/>
      <c r="D198" s="113">
        <f>D122-D77</f>
        <v>0</v>
      </c>
      <c r="E198" s="113"/>
      <c r="F198" s="132"/>
      <c r="G198" s="135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24"/>
      <c r="AA198" s="15"/>
      <c r="AB198" s="15"/>
      <c r="AC198" s="15"/>
      <c r="AD198" s="15"/>
      <c r="AE198" s="15"/>
    </row>
    <row r="199" spans="1:31" s="33" customFormat="1" ht="20.100000000000001" customHeight="1">
      <c r="A199" s="580"/>
      <c r="B199" s="417"/>
      <c r="C199" s="435"/>
      <c r="D199" s="114" t="e">
        <f>D198/D122</f>
        <v>#DIV/0!</v>
      </c>
      <c r="E199" s="114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24"/>
      <c r="AA199" s="15"/>
      <c r="AB199" s="15"/>
      <c r="AC199" s="15"/>
      <c r="AD199" s="15"/>
      <c r="AE199" s="15"/>
    </row>
    <row r="200" spans="1:31" s="33" customFormat="1" ht="20.100000000000001" customHeight="1">
      <c r="A200" s="580"/>
      <c r="B200" s="416" t="s">
        <v>143</v>
      </c>
      <c r="C200" s="125"/>
      <c r="D200" s="114"/>
      <c r="E200" s="114"/>
      <c r="F200" s="132"/>
      <c r="G200" s="132"/>
      <c r="H200" s="132"/>
      <c r="I200" s="132"/>
      <c r="J200" s="135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24"/>
      <c r="AA200" s="15"/>
      <c r="AB200" s="15"/>
      <c r="AC200" s="15"/>
      <c r="AD200" s="15"/>
      <c r="AE200" s="15"/>
    </row>
    <row r="201" spans="1:31" s="33" customFormat="1" ht="20.100000000000001" customHeight="1">
      <c r="A201" s="580"/>
      <c r="B201" s="417"/>
      <c r="C201" s="125"/>
      <c r="D201" s="114"/>
      <c r="E201" s="114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27" t="e">
        <f>SUM(#REF!)</f>
        <v>#REF!</v>
      </c>
      <c r="AA201" s="15"/>
      <c r="AB201" s="15"/>
      <c r="AC201" s="15"/>
      <c r="AD201" s="15"/>
      <c r="AE201" s="15"/>
    </row>
    <row r="202" spans="1:31" s="33" customFormat="1" ht="20.100000000000001" customHeight="1">
      <c r="A202" s="580"/>
      <c r="B202" s="418" t="s">
        <v>162</v>
      </c>
      <c r="C202" s="419"/>
      <c r="D202" s="113">
        <f>D124-D81</f>
        <v>0</v>
      </c>
      <c r="E202" s="113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>
        <f>V122-V35</f>
        <v>0</v>
      </c>
      <c r="W202" s="135">
        <f>W122-W35</f>
        <v>0</v>
      </c>
      <c r="X202" s="135"/>
      <c r="Y202" s="135"/>
      <c r="Z202" s="24" t="e">
        <f>Z201/Z122</f>
        <v>#REF!</v>
      </c>
      <c r="AA202" s="15"/>
      <c r="AB202" s="15"/>
      <c r="AC202" s="15"/>
      <c r="AD202" s="15"/>
      <c r="AE202" s="15"/>
    </row>
    <row r="203" spans="1:31" s="33" customFormat="1" ht="20.100000000000001" customHeight="1">
      <c r="A203" s="580"/>
      <c r="B203" s="420"/>
      <c r="C203" s="421"/>
      <c r="D203" s="114" t="e">
        <f>D202/D124</f>
        <v>#DIV/0!</v>
      </c>
      <c r="E203" s="114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24"/>
      <c r="AA203" s="15"/>
      <c r="AB203" s="15"/>
      <c r="AC203" s="15"/>
      <c r="AD203" s="15"/>
      <c r="AE203" s="15"/>
    </row>
    <row r="204" spans="1:31" s="33" customFormat="1" ht="20.100000000000001" customHeight="1">
      <c r="A204" s="580"/>
      <c r="B204" s="422" t="s">
        <v>161</v>
      </c>
      <c r="C204" s="423"/>
      <c r="D204" s="113">
        <f>D125-D83</f>
        <v>0</v>
      </c>
      <c r="E204" s="113"/>
      <c r="F204" s="132"/>
      <c r="G204" s="135"/>
      <c r="H204" s="132"/>
      <c r="I204" s="132"/>
      <c r="J204" s="135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24"/>
      <c r="AA204" s="15"/>
      <c r="AB204" s="15"/>
      <c r="AC204" s="15"/>
      <c r="AD204" s="15"/>
      <c r="AE204" s="15"/>
    </row>
    <row r="205" spans="1:31" s="33" customFormat="1" ht="20.100000000000001" customHeight="1">
      <c r="A205" s="581"/>
      <c r="B205" s="424"/>
      <c r="C205" s="425"/>
      <c r="D205" s="114" t="e">
        <f>D204/D125</f>
        <v>#DIV/0!</v>
      </c>
      <c r="E205" s="114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24"/>
      <c r="AA205" s="15"/>
      <c r="AB205" s="15"/>
      <c r="AC205" s="15"/>
      <c r="AD205" s="15"/>
      <c r="AE205" s="15"/>
    </row>
    <row r="206" spans="1:31" s="33" customFormat="1" ht="20.100000000000001" customHeight="1">
      <c r="A206" s="133"/>
      <c r="B206" s="422" t="s">
        <v>160</v>
      </c>
      <c r="C206" s="423"/>
      <c r="D206" s="113">
        <f>D126-D85</f>
        <v>-106200</v>
      </c>
      <c r="E206" s="113"/>
      <c r="F206" s="132"/>
      <c r="G206" s="134"/>
      <c r="H206" s="132"/>
      <c r="I206" s="132"/>
      <c r="J206" s="134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24"/>
      <c r="AA206" s="15"/>
      <c r="AB206" s="15"/>
      <c r="AC206" s="15"/>
      <c r="AD206" s="15"/>
      <c r="AE206" s="15"/>
    </row>
    <row r="207" spans="1:31" s="33" customFormat="1" ht="20.100000000000001" customHeight="1">
      <c r="A207" s="133"/>
      <c r="B207" s="424"/>
      <c r="C207" s="425"/>
      <c r="D207" s="114" t="e">
        <f>D206/D126</f>
        <v>#DIV/0!</v>
      </c>
      <c r="E207" s="114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21" t="e">
        <f>SUM(#REF!)</f>
        <v>#REF!</v>
      </c>
      <c r="AA207" s="23" t="e">
        <f>#REF!+#REF!</f>
        <v>#REF!</v>
      </c>
      <c r="AB207" s="23" t="e">
        <f>AA207+144000</f>
        <v>#REF!</v>
      </c>
      <c r="AC207" s="15"/>
      <c r="AD207" s="15"/>
      <c r="AE207" s="15"/>
    </row>
    <row r="208" spans="1:31" s="33" customFormat="1" ht="20.100000000000001" customHeight="1">
      <c r="A208" s="592" t="s">
        <v>159</v>
      </c>
      <c r="B208" s="574" t="s">
        <v>158</v>
      </c>
      <c r="C208" s="575"/>
      <c r="D208" s="131">
        <f>D134+D136+D138+D140+D142+D144+D146+D148+D150+D152+D154+D156+D158+D160+D162+D164+D166+D168+D170+D172+D174+D178+D180+D182+D184+D186+D188+D190+D192+D194+D196+D198+D202+D204+D206</f>
        <v>198062</v>
      </c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>
        <f>V134+V138+V136+V146+V144+V142+V148+V150+V154+V140+(V125-V85)+V202+V166+V168+V156+V160+V164+V174+V172+V162+V178+V182+V184+V180+V170+V158+V152</f>
        <v>0</v>
      </c>
      <c r="W208" s="131">
        <f>W134+W138+W136+W146+W144+W142+W148+W150+W154+W140+(W125-W85)+W202+W166+W168+W156+W160+W164+W174+W172+W162+W178+W182+W184+W180+W170+W158+W152</f>
        <v>0</v>
      </c>
      <c r="X208" s="131">
        <f>X134+X138+X136+X146+X144+X142+X148+X150+X154+X140+(X125-X85)+X202+X166+X168+X156+X160+X164+X174+X172+X162+X178+X182+X184+X180+X170+X158+X152</f>
        <v>0</v>
      </c>
      <c r="Y208" s="131">
        <f>Y134+Y138+Y136+Y146+Y144+Y142+Y148+Y150+Y154+Y140+(Y125-Y85)+Y202+Y166+Y168+Y156+Y160+Y164+Y174+Y172+Y162+Y178+Y182+Y184+Y180+Y170+Y158+Y152</f>
        <v>0</v>
      </c>
      <c r="Z208" s="24" t="e">
        <f>Z207/Z127</f>
        <v>#REF!</v>
      </c>
      <c r="AA208" s="15"/>
      <c r="AB208" s="15"/>
      <c r="AC208" s="15"/>
      <c r="AD208" s="15"/>
      <c r="AE208" s="15"/>
    </row>
    <row r="209" spans="1:31" s="33" customFormat="1" ht="15" customHeight="1" thickBot="1">
      <c r="A209" s="592"/>
      <c r="B209" s="574" t="s">
        <v>157</v>
      </c>
      <c r="C209" s="575"/>
      <c r="D209" s="129">
        <f>D208/D128</f>
        <v>0.20155556256595572</v>
      </c>
      <c r="E209" s="129"/>
      <c r="F209" s="129"/>
      <c r="G209" s="129"/>
      <c r="H209" s="129"/>
      <c r="I209" s="129"/>
      <c r="J209" s="129"/>
      <c r="K209" s="129"/>
      <c r="L209" s="130"/>
      <c r="M209" s="130"/>
      <c r="N209" s="130"/>
      <c r="O209" s="130"/>
      <c r="P209" s="129"/>
      <c r="Q209" s="129"/>
      <c r="R209" s="129"/>
      <c r="S209" s="129"/>
      <c r="T209" s="129"/>
      <c r="U209" s="129"/>
      <c r="V209" s="129" t="e">
        <f>V208/V128</f>
        <v>#DIV/0!</v>
      </c>
      <c r="W209" s="129" t="e">
        <f>W208/W128</f>
        <v>#DIV/0!</v>
      </c>
      <c r="X209" s="129"/>
      <c r="Y209" s="129"/>
      <c r="Z209" s="527"/>
      <c r="AA209" s="15"/>
      <c r="AB209" s="15"/>
      <c r="AC209" s="15"/>
      <c r="AD209" s="15"/>
      <c r="AE209" s="15"/>
    </row>
    <row r="210" spans="1:31" s="33" customFormat="1" ht="15" customHeight="1">
      <c r="A210" s="593" t="s">
        <v>145</v>
      </c>
      <c r="B210" s="594"/>
      <c r="C210" s="594"/>
      <c r="D210" s="525">
        <f>D128</f>
        <v>982667</v>
      </c>
      <c r="E210" s="525"/>
      <c r="F210" s="525"/>
      <c r="G210" s="525"/>
      <c r="H210" s="525"/>
      <c r="I210" s="525"/>
      <c r="J210" s="525"/>
      <c r="K210" s="547"/>
      <c r="L210" s="545"/>
      <c r="M210" s="541"/>
      <c r="N210" s="541"/>
      <c r="O210" s="543"/>
      <c r="P210" s="539"/>
      <c r="Q210" s="539"/>
      <c r="R210" s="539"/>
      <c r="S210" s="525"/>
      <c r="T210" s="539"/>
      <c r="U210" s="539"/>
      <c r="V210" s="539">
        <f>V128</f>
        <v>0</v>
      </c>
      <c r="W210" s="525">
        <f>W128</f>
        <v>0</v>
      </c>
      <c r="X210" s="525">
        <f>X128</f>
        <v>0</v>
      </c>
      <c r="Y210" s="525">
        <f>Y128</f>
        <v>0</v>
      </c>
      <c r="Z210" s="527"/>
      <c r="AA210" s="15"/>
      <c r="AB210" s="15"/>
      <c r="AC210" s="15"/>
      <c r="AD210" s="15"/>
      <c r="AE210" s="15"/>
    </row>
    <row r="211" spans="1:31" s="33" customFormat="1" ht="19.5" customHeight="1" thickBot="1">
      <c r="A211" s="595"/>
      <c r="B211" s="596"/>
      <c r="C211" s="596"/>
      <c r="D211" s="525"/>
      <c r="E211" s="525"/>
      <c r="F211" s="525"/>
      <c r="G211" s="525"/>
      <c r="H211" s="525"/>
      <c r="I211" s="525"/>
      <c r="J211" s="525"/>
      <c r="K211" s="547"/>
      <c r="L211" s="546"/>
      <c r="M211" s="542"/>
      <c r="N211" s="542"/>
      <c r="O211" s="544"/>
      <c r="P211" s="540"/>
      <c r="Q211" s="540"/>
      <c r="R211" s="540"/>
      <c r="S211" s="525"/>
      <c r="T211" s="540"/>
      <c r="U211" s="540"/>
      <c r="V211" s="540"/>
      <c r="W211" s="525"/>
      <c r="X211" s="525"/>
      <c r="Y211" s="525"/>
      <c r="Z211" s="21"/>
      <c r="AA211" s="15"/>
      <c r="AB211" s="15"/>
      <c r="AC211" s="15"/>
      <c r="AD211" s="15"/>
      <c r="AE211" s="15"/>
    </row>
    <row r="212" spans="1:31" s="33" customFormat="1" ht="15.95" customHeight="1">
      <c r="A212" s="410" t="s">
        <v>156</v>
      </c>
      <c r="B212" s="411"/>
      <c r="C212" s="411"/>
      <c r="D212" s="127"/>
      <c r="E212" s="127"/>
      <c r="F212" s="127"/>
      <c r="G212" s="127"/>
      <c r="H212" s="127"/>
      <c r="I212" s="127"/>
      <c r="J212" s="127"/>
      <c r="K212" s="127"/>
      <c r="L212" s="128"/>
      <c r="M212" s="128"/>
      <c r="N212" s="128"/>
      <c r="O212" s="128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522"/>
      <c r="AA212" s="23"/>
      <c r="AB212" s="15"/>
      <c r="AC212" s="15"/>
      <c r="AD212" s="15"/>
      <c r="AE212" s="15"/>
    </row>
    <row r="213" spans="1:31" s="33" customFormat="1" ht="14.25">
      <c r="A213" s="557" t="s">
        <v>155</v>
      </c>
      <c r="B213" s="558" t="s">
        <v>147</v>
      </c>
      <c r="C213" s="559"/>
      <c r="D213" s="563"/>
      <c r="E213" s="561"/>
      <c r="F213" s="561"/>
      <c r="G213" s="561"/>
      <c r="H213" s="563"/>
      <c r="I213" s="563"/>
      <c r="J213" s="563"/>
      <c r="K213" s="563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22"/>
      <c r="AA213" s="15"/>
      <c r="AB213" s="15"/>
      <c r="AC213" s="15"/>
      <c r="AD213" s="15"/>
      <c r="AE213" s="15"/>
    </row>
    <row r="214" spans="1:31" s="33" customFormat="1" ht="14.25">
      <c r="A214" s="558"/>
      <c r="B214" s="558"/>
      <c r="C214" s="559"/>
      <c r="D214" s="563"/>
      <c r="E214" s="562"/>
      <c r="F214" s="562"/>
      <c r="G214" s="562"/>
      <c r="H214" s="563"/>
      <c r="I214" s="563"/>
      <c r="J214" s="563"/>
      <c r="K214" s="563"/>
      <c r="L214" s="562"/>
      <c r="M214" s="562"/>
      <c r="N214" s="562"/>
      <c r="O214" s="562"/>
      <c r="P214" s="562"/>
      <c r="Q214" s="562"/>
      <c r="R214" s="562"/>
      <c r="S214" s="562"/>
      <c r="T214" s="562"/>
      <c r="U214" s="562"/>
      <c r="V214" s="562"/>
      <c r="W214" s="562"/>
      <c r="X214" s="562"/>
      <c r="Y214" s="562"/>
      <c r="Z214" s="522"/>
      <c r="AA214" s="23" t="e">
        <f>#REF!+#REF!+#REF!</f>
        <v>#REF!</v>
      </c>
      <c r="AB214" s="15"/>
      <c r="AC214" s="15"/>
      <c r="AD214" s="15"/>
      <c r="AE214" s="15"/>
    </row>
    <row r="215" spans="1:31" s="33" customFormat="1" ht="14.25">
      <c r="A215" s="558"/>
      <c r="B215" s="558" t="s">
        <v>146</v>
      </c>
      <c r="C215" s="559"/>
      <c r="D215" s="560"/>
      <c r="E215" s="567"/>
      <c r="F215" s="560"/>
      <c r="G215" s="560"/>
      <c r="H215" s="564"/>
      <c r="I215" s="564"/>
      <c r="J215" s="560"/>
      <c r="K215" s="560"/>
      <c r="L215" s="567"/>
      <c r="M215" s="567"/>
      <c r="N215" s="573"/>
      <c r="O215" s="567"/>
      <c r="P215" s="567"/>
      <c r="Q215" s="567"/>
      <c r="R215" s="567"/>
      <c r="S215" s="567"/>
      <c r="T215" s="567"/>
      <c r="U215" s="573"/>
      <c r="V215" s="561"/>
      <c r="W215" s="567"/>
      <c r="X215" s="567"/>
      <c r="Y215" s="561"/>
      <c r="Z215" s="522"/>
      <c r="AA215" s="15"/>
      <c r="AB215" s="15"/>
      <c r="AC215" s="15"/>
      <c r="AD215" s="15"/>
      <c r="AE215" s="15"/>
    </row>
    <row r="216" spans="1:31" s="33" customFormat="1" ht="15.95" customHeight="1">
      <c r="A216" s="558"/>
      <c r="B216" s="558"/>
      <c r="C216" s="559"/>
      <c r="D216" s="560"/>
      <c r="E216" s="568"/>
      <c r="F216" s="560"/>
      <c r="G216" s="560"/>
      <c r="H216" s="563"/>
      <c r="I216" s="563"/>
      <c r="J216" s="560"/>
      <c r="K216" s="560"/>
      <c r="L216" s="568"/>
      <c r="M216" s="568"/>
      <c r="N216" s="562"/>
      <c r="O216" s="568"/>
      <c r="P216" s="568"/>
      <c r="Q216" s="568"/>
      <c r="R216" s="568"/>
      <c r="S216" s="568"/>
      <c r="T216" s="568"/>
      <c r="U216" s="587"/>
      <c r="V216" s="562"/>
      <c r="W216" s="568"/>
      <c r="X216" s="568"/>
      <c r="Y216" s="562"/>
      <c r="Z216" s="522"/>
      <c r="AA216" s="15"/>
      <c r="AB216" s="15"/>
      <c r="AC216" s="15"/>
      <c r="AD216" s="15"/>
      <c r="AE216" s="15"/>
    </row>
    <row r="217" spans="1:31" s="33" customFormat="1" ht="14.25">
      <c r="A217" s="557" t="s">
        <v>154</v>
      </c>
      <c r="B217" s="558" t="s">
        <v>147</v>
      </c>
      <c r="C217" s="559"/>
      <c r="D217" s="563"/>
      <c r="E217" s="561"/>
      <c r="F217" s="563"/>
      <c r="G217" s="563"/>
      <c r="H217" s="563"/>
      <c r="I217" s="563"/>
      <c r="J217" s="563"/>
      <c r="K217" s="563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90"/>
      <c r="Y217" s="567"/>
      <c r="Z217" s="522"/>
      <c r="AA217" s="15"/>
      <c r="AB217" s="15"/>
      <c r="AC217" s="15"/>
      <c r="AD217" s="15"/>
      <c r="AE217" s="15"/>
    </row>
    <row r="218" spans="1:31" s="33" customFormat="1" ht="14.25">
      <c r="A218" s="558"/>
      <c r="B218" s="558"/>
      <c r="C218" s="559"/>
      <c r="D218" s="563"/>
      <c r="E218" s="562"/>
      <c r="F218" s="563"/>
      <c r="G218" s="563"/>
      <c r="H218" s="563"/>
      <c r="I218" s="563"/>
      <c r="J218" s="563"/>
      <c r="K218" s="563"/>
      <c r="L218" s="562"/>
      <c r="M218" s="562"/>
      <c r="N218" s="562"/>
      <c r="O218" s="562"/>
      <c r="P218" s="562"/>
      <c r="Q218" s="562"/>
      <c r="R218" s="562"/>
      <c r="S218" s="562"/>
      <c r="T218" s="562"/>
      <c r="U218" s="562"/>
      <c r="V218" s="562"/>
      <c r="W218" s="562"/>
      <c r="X218" s="591"/>
      <c r="Y218" s="568"/>
      <c r="Z218" s="522"/>
      <c r="AA218" s="15"/>
      <c r="AB218" s="15"/>
      <c r="AC218" s="15"/>
      <c r="AD218" s="15"/>
      <c r="AE218" s="15"/>
    </row>
    <row r="219" spans="1:31" s="33" customFormat="1" ht="14.25">
      <c r="A219" s="558"/>
      <c r="B219" s="558" t="s">
        <v>146</v>
      </c>
      <c r="C219" s="559"/>
      <c r="D219" s="560"/>
      <c r="E219" s="567"/>
      <c r="F219" s="560"/>
      <c r="G219" s="560"/>
      <c r="H219" s="560"/>
      <c r="I219" s="560"/>
      <c r="J219" s="560"/>
      <c r="K219" s="560"/>
      <c r="L219" s="567"/>
      <c r="M219" s="567"/>
      <c r="N219" s="561"/>
      <c r="O219" s="567"/>
      <c r="P219" s="567"/>
      <c r="Q219" s="567"/>
      <c r="R219" s="567"/>
      <c r="S219" s="567"/>
      <c r="T219" s="571"/>
      <c r="U219" s="567"/>
      <c r="V219" s="561"/>
      <c r="W219" s="567"/>
      <c r="X219" s="567"/>
      <c r="Y219" s="567"/>
      <c r="Z219" s="522"/>
      <c r="AA219" s="15"/>
      <c r="AB219" s="15"/>
      <c r="AC219" s="15"/>
      <c r="AD219" s="15"/>
      <c r="AE219" s="15"/>
    </row>
    <row r="220" spans="1:31" s="33" customFormat="1" ht="15.95" customHeight="1">
      <c r="A220" s="558"/>
      <c r="B220" s="558"/>
      <c r="C220" s="559"/>
      <c r="D220" s="560"/>
      <c r="E220" s="568"/>
      <c r="F220" s="560"/>
      <c r="G220" s="560"/>
      <c r="H220" s="560"/>
      <c r="I220" s="560"/>
      <c r="J220" s="560"/>
      <c r="K220" s="560"/>
      <c r="L220" s="568"/>
      <c r="M220" s="568"/>
      <c r="N220" s="562"/>
      <c r="O220" s="568"/>
      <c r="P220" s="568"/>
      <c r="Q220" s="568"/>
      <c r="R220" s="568"/>
      <c r="S220" s="568"/>
      <c r="T220" s="572"/>
      <c r="U220" s="568"/>
      <c r="V220" s="562"/>
      <c r="W220" s="568"/>
      <c r="X220" s="568"/>
      <c r="Y220" s="568"/>
      <c r="Z220" s="522"/>
      <c r="AA220" s="15"/>
      <c r="AB220" s="15"/>
      <c r="AC220" s="15"/>
      <c r="AD220" s="15"/>
      <c r="AE220" s="15"/>
    </row>
    <row r="221" spans="1:31" s="33" customFormat="1" ht="14.25">
      <c r="A221" s="557" t="s">
        <v>153</v>
      </c>
      <c r="B221" s="558" t="s">
        <v>147</v>
      </c>
      <c r="C221" s="559"/>
      <c r="D221" s="563"/>
      <c r="E221" s="561"/>
      <c r="F221" s="563"/>
      <c r="G221" s="563"/>
      <c r="H221" s="563"/>
      <c r="I221" s="563"/>
      <c r="J221" s="563"/>
      <c r="K221" s="563"/>
      <c r="L221" s="561"/>
      <c r="M221" s="561"/>
      <c r="N221" s="561"/>
      <c r="O221" s="561"/>
      <c r="P221" s="561"/>
      <c r="Q221" s="561"/>
      <c r="R221" s="561"/>
      <c r="S221" s="590"/>
      <c r="T221" s="567"/>
      <c r="U221" s="561"/>
      <c r="V221" s="561"/>
      <c r="W221" s="561"/>
      <c r="X221" s="567"/>
      <c r="Y221" s="567"/>
      <c r="Z221" s="522"/>
      <c r="AA221" s="15"/>
      <c r="AB221" s="15"/>
      <c r="AC221" s="15"/>
      <c r="AD221" s="15"/>
      <c r="AE221" s="15"/>
    </row>
    <row r="222" spans="1:31" s="33" customFormat="1" ht="14.25">
      <c r="A222" s="558"/>
      <c r="B222" s="558"/>
      <c r="C222" s="559"/>
      <c r="D222" s="563"/>
      <c r="E222" s="562"/>
      <c r="F222" s="563"/>
      <c r="G222" s="563"/>
      <c r="H222" s="563"/>
      <c r="I222" s="563"/>
      <c r="J222" s="563"/>
      <c r="K222" s="563"/>
      <c r="L222" s="562"/>
      <c r="M222" s="562"/>
      <c r="N222" s="562"/>
      <c r="O222" s="562"/>
      <c r="P222" s="562"/>
      <c r="Q222" s="562"/>
      <c r="R222" s="562"/>
      <c r="S222" s="591"/>
      <c r="T222" s="568"/>
      <c r="U222" s="562"/>
      <c r="V222" s="562"/>
      <c r="W222" s="562"/>
      <c r="X222" s="568"/>
      <c r="Y222" s="568"/>
      <c r="Z222" s="522"/>
      <c r="AA222" s="15"/>
      <c r="AB222" s="15"/>
      <c r="AC222" s="15"/>
      <c r="AD222" s="15"/>
      <c r="AE222" s="15"/>
    </row>
    <row r="223" spans="1:31" s="33" customFormat="1" ht="14.25">
      <c r="A223" s="558"/>
      <c r="B223" s="558" t="s">
        <v>146</v>
      </c>
      <c r="C223" s="559"/>
      <c r="D223" s="563"/>
      <c r="E223" s="561"/>
      <c r="F223" s="560"/>
      <c r="G223" s="564"/>
      <c r="H223" s="560"/>
      <c r="I223" s="560"/>
      <c r="J223" s="560"/>
      <c r="K223" s="560"/>
      <c r="L223" s="567"/>
      <c r="M223" s="567"/>
      <c r="N223" s="561"/>
      <c r="O223" s="567"/>
      <c r="P223" s="573"/>
      <c r="Q223" s="561"/>
      <c r="R223" s="567"/>
      <c r="S223" s="588"/>
      <c r="T223" s="561"/>
      <c r="U223" s="561"/>
      <c r="V223" s="561"/>
      <c r="W223" s="567"/>
      <c r="X223" s="567"/>
      <c r="Y223" s="567"/>
      <c r="Z223" s="522"/>
      <c r="AA223" s="15"/>
      <c r="AB223" s="15"/>
      <c r="AC223" s="15"/>
      <c r="AD223" s="15"/>
      <c r="AE223" s="15"/>
    </row>
    <row r="224" spans="1:31" s="33" customFormat="1" ht="13.5" customHeight="1">
      <c r="A224" s="558"/>
      <c r="B224" s="558"/>
      <c r="C224" s="559"/>
      <c r="D224" s="563"/>
      <c r="E224" s="562"/>
      <c r="F224" s="560"/>
      <c r="G224" s="563"/>
      <c r="H224" s="560"/>
      <c r="I224" s="560"/>
      <c r="J224" s="560"/>
      <c r="K224" s="560"/>
      <c r="L224" s="568"/>
      <c r="M224" s="568"/>
      <c r="N224" s="562"/>
      <c r="O224" s="568"/>
      <c r="P224" s="587"/>
      <c r="Q224" s="562"/>
      <c r="R224" s="568"/>
      <c r="S224" s="589"/>
      <c r="T224" s="562"/>
      <c r="U224" s="562"/>
      <c r="V224" s="562"/>
      <c r="W224" s="568"/>
      <c r="X224" s="568"/>
      <c r="Y224" s="568"/>
      <c r="Z224" s="522"/>
      <c r="AA224" s="15"/>
      <c r="AB224" s="15"/>
      <c r="AC224" s="15"/>
      <c r="AD224" s="15"/>
      <c r="AE224" s="15"/>
    </row>
    <row r="225" spans="1:31" s="33" customFormat="1" ht="13.5" customHeight="1">
      <c r="A225" s="557" t="s">
        <v>152</v>
      </c>
      <c r="B225" s="558" t="s">
        <v>147</v>
      </c>
      <c r="C225" s="559"/>
      <c r="D225" s="563"/>
      <c r="E225" s="561"/>
      <c r="F225" s="563"/>
      <c r="G225" s="563"/>
      <c r="H225" s="563"/>
      <c r="I225" s="563"/>
      <c r="J225" s="563"/>
      <c r="K225" s="563"/>
      <c r="L225" s="561"/>
      <c r="M225" s="561"/>
      <c r="N225" s="561"/>
      <c r="O225" s="561"/>
      <c r="P225" s="561"/>
      <c r="Q225" s="561"/>
      <c r="R225" s="561"/>
      <c r="S225" s="561"/>
      <c r="T225" s="561"/>
      <c r="U225" s="561"/>
      <c r="V225" s="561"/>
      <c r="W225" s="561"/>
      <c r="X225" s="567"/>
      <c r="Y225" s="567"/>
      <c r="Z225" s="522"/>
      <c r="AA225" s="15"/>
      <c r="AB225" s="15"/>
      <c r="AC225" s="15"/>
      <c r="AD225" s="15"/>
      <c r="AE225" s="15"/>
    </row>
    <row r="226" spans="1:31" s="33" customFormat="1" ht="13.5" customHeight="1">
      <c r="A226" s="558"/>
      <c r="B226" s="558"/>
      <c r="C226" s="559"/>
      <c r="D226" s="563"/>
      <c r="E226" s="562"/>
      <c r="F226" s="563"/>
      <c r="G226" s="563"/>
      <c r="H226" s="563"/>
      <c r="I226" s="563"/>
      <c r="J226" s="563"/>
      <c r="K226" s="563"/>
      <c r="L226" s="562"/>
      <c r="M226" s="562"/>
      <c r="N226" s="562"/>
      <c r="O226" s="562"/>
      <c r="P226" s="562"/>
      <c r="Q226" s="562"/>
      <c r="R226" s="562"/>
      <c r="S226" s="562"/>
      <c r="T226" s="562"/>
      <c r="U226" s="562"/>
      <c r="V226" s="562"/>
      <c r="W226" s="562"/>
      <c r="X226" s="568"/>
      <c r="Y226" s="568"/>
      <c r="Z226" s="522"/>
      <c r="AA226" s="15"/>
      <c r="AB226" s="15"/>
      <c r="AC226" s="15"/>
      <c r="AD226" s="15"/>
      <c r="AE226" s="15"/>
    </row>
    <row r="227" spans="1:31" s="33" customFormat="1" ht="13.5" customHeight="1">
      <c r="A227" s="558"/>
      <c r="B227" s="558" t="s">
        <v>146</v>
      </c>
      <c r="C227" s="559"/>
      <c r="D227" s="563"/>
      <c r="E227" s="561"/>
      <c r="F227" s="560"/>
      <c r="G227" s="564"/>
      <c r="H227" s="563"/>
      <c r="I227" s="563"/>
      <c r="J227" s="560"/>
      <c r="K227" s="563"/>
      <c r="L227" s="567"/>
      <c r="M227" s="567"/>
      <c r="N227" s="561"/>
      <c r="O227" s="561"/>
      <c r="P227" s="567"/>
      <c r="Q227" s="561"/>
      <c r="R227" s="561"/>
      <c r="S227" s="567"/>
      <c r="T227" s="561"/>
      <c r="U227" s="561"/>
      <c r="V227" s="561"/>
      <c r="W227" s="567"/>
      <c r="X227" s="567"/>
      <c r="Y227" s="567"/>
      <c r="Z227" s="522"/>
      <c r="AA227" s="15"/>
      <c r="AB227" s="15"/>
      <c r="AC227" s="15"/>
      <c r="AD227" s="15"/>
      <c r="AE227" s="15"/>
    </row>
    <row r="228" spans="1:31" s="33" customFormat="1" ht="13.5" customHeight="1">
      <c r="A228" s="558"/>
      <c r="B228" s="558"/>
      <c r="C228" s="559"/>
      <c r="D228" s="563"/>
      <c r="E228" s="562"/>
      <c r="F228" s="560"/>
      <c r="G228" s="563"/>
      <c r="H228" s="563"/>
      <c r="I228" s="563"/>
      <c r="J228" s="560"/>
      <c r="K228" s="563"/>
      <c r="L228" s="568"/>
      <c r="M228" s="568"/>
      <c r="N228" s="562"/>
      <c r="O228" s="562"/>
      <c r="P228" s="568"/>
      <c r="Q228" s="562"/>
      <c r="R228" s="562"/>
      <c r="S228" s="568"/>
      <c r="T228" s="562"/>
      <c r="U228" s="562"/>
      <c r="V228" s="562"/>
      <c r="W228" s="568"/>
      <c r="X228" s="568"/>
      <c r="Y228" s="568"/>
      <c r="Z228" s="522"/>
      <c r="AA228" s="15"/>
      <c r="AB228" s="15"/>
      <c r="AC228" s="15"/>
      <c r="AD228" s="15"/>
      <c r="AE228" s="15"/>
    </row>
    <row r="229" spans="1:31" s="33" customFormat="1" ht="13.5" customHeight="1">
      <c r="A229" s="557" t="s">
        <v>151</v>
      </c>
      <c r="B229" s="558" t="s">
        <v>147</v>
      </c>
      <c r="C229" s="559"/>
      <c r="D229" s="563"/>
      <c r="E229" s="561"/>
      <c r="F229" s="563"/>
      <c r="G229" s="563"/>
      <c r="H229" s="563"/>
      <c r="I229" s="563"/>
      <c r="J229" s="563"/>
      <c r="K229" s="563"/>
      <c r="L229" s="561"/>
      <c r="M229" s="561"/>
      <c r="N229" s="561"/>
      <c r="O229" s="561"/>
      <c r="P229" s="561"/>
      <c r="Q229" s="561"/>
      <c r="R229" s="561"/>
      <c r="S229" s="561"/>
      <c r="T229" s="561"/>
      <c r="U229" s="561"/>
      <c r="V229" s="561"/>
      <c r="W229" s="561"/>
      <c r="X229" s="567"/>
      <c r="Y229" s="567"/>
      <c r="Z229" s="522"/>
      <c r="AA229" s="15"/>
      <c r="AB229" s="15"/>
      <c r="AC229" s="15"/>
      <c r="AD229" s="15"/>
      <c r="AE229" s="15"/>
    </row>
    <row r="230" spans="1:31" s="33" customFormat="1" ht="13.5" customHeight="1">
      <c r="A230" s="558"/>
      <c r="B230" s="558"/>
      <c r="C230" s="559"/>
      <c r="D230" s="563"/>
      <c r="E230" s="562"/>
      <c r="F230" s="563"/>
      <c r="G230" s="563"/>
      <c r="H230" s="563"/>
      <c r="I230" s="563"/>
      <c r="J230" s="563"/>
      <c r="K230" s="563"/>
      <c r="L230" s="562"/>
      <c r="M230" s="562"/>
      <c r="N230" s="562"/>
      <c r="O230" s="562"/>
      <c r="P230" s="562"/>
      <c r="Q230" s="562"/>
      <c r="R230" s="562"/>
      <c r="S230" s="562"/>
      <c r="T230" s="562"/>
      <c r="U230" s="562"/>
      <c r="V230" s="562"/>
      <c r="W230" s="562"/>
      <c r="X230" s="568"/>
      <c r="Y230" s="568"/>
      <c r="Z230" s="522"/>
      <c r="AA230" s="15"/>
      <c r="AB230" s="15"/>
      <c r="AC230" s="15"/>
      <c r="AD230" s="15"/>
      <c r="AE230" s="15"/>
    </row>
    <row r="231" spans="1:31" s="33" customFormat="1" ht="13.5" customHeight="1">
      <c r="A231" s="558"/>
      <c r="B231" s="558" t="s">
        <v>146</v>
      </c>
      <c r="C231" s="559"/>
      <c r="D231" s="563"/>
      <c r="E231" s="561"/>
      <c r="F231" s="560"/>
      <c r="G231" s="564"/>
      <c r="H231" s="563"/>
      <c r="I231" s="563"/>
      <c r="J231" s="560"/>
      <c r="K231" s="563"/>
      <c r="L231" s="561"/>
      <c r="M231" s="561"/>
      <c r="N231" s="561"/>
      <c r="O231" s="561"/>
      <c r="P231" s="561"/>
      <c r="Q231" s="561"/>
      <c r="R231" s="561"/>
      <c r="S231" s="561"/>
      <c r="T231" s="561"/>
      <c r="U231" s="561"/>
      <c r="V231" s="561"/>
      <c r="W231" s="561"/>
      <c r="X231" s="567"/>
      <c r="Y231" s="567"/>
      <c r="Z231" s="522"/>
      <c r="AA231" s="15"/>
      <c r="AB231" s="15"/>
      <c r="AC231" s="15"/>
      <c r="AD231" s="15"/>
      <c r="AE231" s="15"/>
    </row>
    <row r="232" spans="1:31" s="33" customFormat="1" ht="13.5" customHeight="1">
      <c r="A232" s="558"/>
      <c r="B232" s="558"/>
      <c r="C232" s="559"/>
      <c r="D232" s="563"/>
      <c r="E232" s="562"/>
      <c r="F232" s="560"/>
      <c r="G232" s="563"/>
      <c r="H232" s="563"/>
      <c r="I232" s="563"/>
      <c r="J232" s="560"/>
      <c r="K232" s="563"/>
      <c r="L232" s="562"/>
      <c r="M232" s="562"/>
      <c r="N232" s="562"/>
      <c r="O232" s="562"/>
      <c r="P232" s="562"/>
      <c r="Q232" s="562"/>
      <c r="R232" s="562"/>
      <c r="S232" s="562"/>
      <c r="T232" s="562"/>
      <c r="U232" s="562"/>
      <c r="V232" s="562"/>
      <c r="W232" s="562"/>
      <c r="X232" s="568"/>
      <c r="Y232" s="568"/>
      <c r="Z232" s="522"/>
      <c r="AA232" s="15"/>
      <c r="AB232" s="15"/>
      <c r="AC232" s="15"/>
      <c r="AD232" s="15"/>
      <c r="AE232" s="15"/>
    </row>
    <row r="233" spans="1:31" s="33" customFormat="1" ht="13.5" customHeight="1">
      <c r="A233" s="557" t="s">
        <v>150</v>
      </c>
      <c r="B233" s="558" t="s">
        <v>147</v>
      </c>
      <c r="C233" s="559"/>
      <c r="D233" s="563"/>
      <c r="E233" s="561"/>
      <c r="F233" s="563"/>
      <c r="G233" s="563"/>
      <c r="H233" s="563"/>
      <c r="I233" s="563"/>
      <c r="J233" s="563"/>
      <c r="K233" s="563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7"/>
      <c r="Y233" s="567"/>
      <c r="Z233" s="522"/>
      <c r="AA233" s="15"/>
      <c r="AB233" s="15"/>
      <c r="AC233" s="15"/>
      <c r="AD233" s="15"/>
      <c r="AE233" s="15"/>
    </row>
    <row r="234" spans="1:31" s="33" customFormat="1" ht="13.5" customHeight="1">
      <c r="A234" s="558"/>
      <c r="B234" s="558"/>
      <c r="C234" s="559"/>
      <c r="D234" s="563"/>
      <c r="E234" s="562"/>
      <c r="F234" s="563"/>
      <c r="G234" s="563"/>
      <c r="H234" s="563"/>
      <c r="I234" s="563"/>
      <c r="J234" s="563"/>
      <c r="K234" s="563"/>
      <c r="L234" s="562"/>
      <c r="M234" s="562"/>
      <c r="N234" s="562"/>
      <c r="O234" s="562"/>
      <c r="P234" s="562"/>
      <c r="Q234" s="562"/>
      <c r="R234" s="562"/>
      <c r="S234" s="562"/>
      <c r="T234" s="562"/>
      <c r="U234" s="562"/>
      <c r="V234" s="562"/>
      <c r="W234" s="562"/>
      <c r="X234" s="568"/>
      <c r="Y234" s="568"/>
      <c r="Z234" s="522"/>
      <c r="AA234" s="15"/>
      <c r="AB234" s="15"/>
      <c r="AC234" s="15"/>
      <c r="AD234" s="15"/>
      <c r="AE234" s="15"/>
    </row>
    <row r="235" spans="1:31" s="33" customFormat="1" ht="13.5" customHeight="1">
      <c r="A235" s="558"/>
      <c r="B235" s="558" t="s">
        <v>146</v>
      </c>
      <c r="C235" s="559"/>
      <c r="D235" s="563"/>
      <c r="E235" s="561"/>
      <c r="F235" s="563"/>
      <c r="G235" s="560"/>
      <c r="H235" s="563"/>
      <c r="I235" s="563"/>
      <c r="J235" s="560"/>
      <c r="K235" s="563"/>
      <c r="L235" s="561"/>
      <c r="M235" s="561"/>
      <c r="N235" s="561"/>
      <c r="O235" s="561"/>
      <c r="P235" s="561"/>
      <c r="Q235" s="561"/>
      <c r="R235" s="561"/>
      <c r="S235" s="561"/>
      <c r="T235" s="561"/>
      <c r="U235" s="561"/>
      <c r="V235" s="561"/>
      <c r="W235" s="561"/>
      <c r="X235" s="567"/>
      <c r="Y235" s="567"/>
      <c r="Z235" s="522"/>
      <c r="AA235" s="15"/>
      <c r="AB235" s="15"/>
      <c r="AC235" s="15"/>
      <c r="AD235" s="15"/>
      <c r="AE235" s="15"/>
    </row>
    <row r="236" spans="1:31" s="33" customFormat="1" ht="13.5" customHeight="1">
      <c r="A236" s="558"/>
      <c r="B236" s="558"/>
      <c r="C236" s="559"/>
      <c r="D236" s="563"/>
      <c r="E236" s="562"/>
      <c r="F236" s="563"/>
      <c r="G236" s="560"/>
      <c r="H236" s="563"/>
      <c r="I236" s="563"/>
      <c r="J236" s="560"/>
      <c r="K236" s="563"/>
      <c r="L236" s="562"/>
      <c r="M236" s="562"/>
      <c r="N236" s="562"/>
      <c r="O236" s="562"/>
      <c r="P236" s="562"/>
      <c r="Q236" s="562"/>
      <c r="R236" s="562"/>
      <c r="S236" s="562"/>
      <c r="T236" s="562"/>
      <c r="U236" s="562"/>
      <c r="V236" s="562"/>
      <c r="W236" s="562"/>
      <c r="X236" s="568"/>
      <c r="Y236" s="568"/>
      <c r="Z236" s="522"/>
      <c r="AA236" s="15"/>
      <c r="AB236" s="15"/>
      <c r="AC236" s="15"/>
      <c r="AD236" s="15"/>
      <c r="AE236" s="15"/>
    </row>
    <row r="237" spans="1:31" s="33" customFormat="1" ht="13.5" customHeight="1">
      <c r="A237" s="557" t="s">
        <v>150</v>
      </c>
      <c r="B237" s="558" t="s">
        <v>147</v>
      </c>
      <c r="C237" s="559"/>
      <c r="D237" s="563"/>
      <c r="E237" s="561"/>
      <c r="F237" s="563"/>
      <c r="G237" s="563"/>
      <c r="H237" s="563"/>
      <c r="I237" s="563"/>
      <c r="J237" s="563"/>
      <c r="K237" s="563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7"/>
      <c r="Y237" s="567"/>
      <c r="Z237" s="522"/>
      <c r="AA237" s="15"/>
      <c r="AB237" s="15"/>
      <c r="AC237" s="15"/>
      <c r="AD237" s="15"/>
      <c r="AE237" s="15"/>
    </row>
    <row r="238" spans="1:31" s="33" customFormat="1" ht="13.5" customHeight="1">
      <c r="A238" s="558"/>
      <c r="B238" s="558"/>
      <c r="C238" s="559"/>
      <c r="D238" s="563"/>
      <c r="E238" s="562"/>
      <c r="F238" s="563"/>
      <c r="G238" s="563"/>
      <c r="H238" s="563"/>
      <c r="I238" s="563"/>
      <c r="J238" s="563"/>
      <c r="K238" s="563"/>
      <c r="L238" s="562"/>
      <c r="M238" s="562"/>
      <c r="N238" s="562"/>
      <c r="O238" s="562"/>
      <c r="P238" s="562"/>
      <c r="Q238" s="562"/>
      <c r="R238" s="562"/>
      <c r="S238" s="562"/>
      <c r="T238" s="562"/>
      <c r="U238" s="562"/>
      <c r="V238" s="562"/>
      <c r="W238" s="562"/>
      <c r="X238" s="568"/>
      <c r="Y238" s="568"/>
      <c r="Z238" s="522"/>
      <c r="AA238" s="15"/>
      <c r="AB238" s="15"/>
      <c r="AC238" s="15"/>
      <c r="AD238" s="15"/>
      <c r="AE238" s="15"/>
    </row>
    <row r="239" spans="1:31" s="33" customFormat="1" ht="13.5" customHeight="1">
      <c r="A239" s="558"/>
      <c r="B239" s="558" t="s">
        <v>146</v>
      </c>
      <c r="C239" s="559"/>
      <c r="D239" s="560"/>
      <c r="E239" s="561"/>
      <c r="F239" s="560"/>
      <c r="G239" s="563"/>
      <c r="H239" s="563"/>
      <c r="I239" s="563"/>
      <c r="J239" s="560"/>
      <c r="K239" s="563"/>
      <c r="L239" s="561"/>
      <c r="M239" s="561"/>
      <c r="N239" s="561"/>
      <c r="O239" s="561"/>
      <c r="P239" s="561"/>
      <c r="Q239" s="561"/>
      <c r="R239" s="561"/>
      <c r="S239" s="561"/>
      <c r="T239" s="561"/>
      <c r="U239" s="561"/>
      <c r="V239" s="561"/>
      <c r="W239" s="561"/>
      <c r="X239" s="567"/>
      <c r="Y239" s="567"/>
      <c r="Z239" s="522"/>
      <c r="AA239" s="15"/>
      <c r="AB239" s="15"/>
      <c r="AC239" s="15"/>
      <c r="AD239" s="15"/>
      <c r="AE239" s="15"/>
    </row>
    <row r="240" spans="1:31" s="33" customFormat="1" ht="13.5" customHeight="1">
      <c r="A240" s="558"/>
      <c r="B240" s="558"/>
      <c r="C240" s="559"/>
      <c r="D240" s="560"/>
      <c r="E240" s="562"/>
      <c r="F240" s="560"/>
      <c r="G240" s="563"/>
      <c r="H240" s="563"/>
      <c r="I240" s="563"/>
      <c r="J240" s="560"/>
      <c r="K240" s="563"/>
      <c r="L240" s="562"/>
      <c r="M240" s="562"/>
      <c r="N240" s="562"/>
      <c r="O240" s="562"/>
      <c r="P240" s="562"/>
      <c r="Q240" s="562"/>
      <c r="R240" s="562"/>
      <c r="S240" s="562"/>
      <c r="T240" s="562"/>
      <c r="U240" s="562"/>
      <c r="V240" s="562"/>
      <c r="W240" s="562"/>
      <c r="X240" s="568"/>
      <c r="Y240" s="568"/>
      <c r="Z240" s="522"/>
      <c r="AA240" s="15"/>
      <c r="AB240" s="15"/>
      <c r="AC240" s="15"/>
      <c r="AD240" s="15"/>
      <c r="AE240" s="15"/>
    </row>
    <row r="241" spans="1:31" s="33" customFormat="1" ht="13.5" customHeight="1">
      <c r="A241" s="557" t="s">
        <v>149</v>
      </c>
      <c r="B241" s="558" t="s">
        <v>147</v>
      </c>
      <c r="C241" s="559"/>
      <c r="D241" s="560"/>
      <c r="E241" s="561"/>
      <c r="F241" s="560"/>
      <c r="G241" s="563"/>
      <c r="H241" s="563"/>
      <c r="I241" s="563"/>
      <c r="J241" s="563"/>
      <c r="K241" s="563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7"/>
      <c r="Y241" s="567"/>
      <c r="Z241" s="522"/>
      <c r="AA241" s="15"/>
      <c r="AB241" s="15"/>
      <c r="AC241" s="15"/>
      <c r="AD241" s="15"/>
      <c r="AE241" s="15"/>
    </row>
    <row r="242" spans="1:31" s="33" customFormat="1" ht="13.5" customHeight="1">
      <c r="A242" s="558"/>
      <c r="B242" s="558"/>
      <c r="C242" s="559"/>
      <c r="D242" s="560"/>
      <c r="E242" s="562"/>
      <c r="F242" s="560"/>
      <c r="G242" s="563"/>
      <c r="H242" s="563"/>
      <c r="I242" s="563"/>
      <c r="J242" s="563"/>
      <c r="K242" s="563"/>
      <c r="L242" s="562"/>
      <c r="M242" s="562"/>
      <c r="N242" s="562"/>
      <c r="O242" s="562"/>
      <c r="P242" s="562"/>
      <c r="Q242" s="562"/>
      <c r="R242" s="562"/>
      <c r="S242" s="562"/>
      <c r="T242" s="562"/>
      <c r="U242" s="562"/>
      <c r="V242" s="562"/>
      <c r="W242" s="562"/>
      <c r="X242" s="568"/>
      <c r="Y242" s="568"/>
      <c r="Z242" s="522"/>
      <c r="AA242" s="15"/>
      <c r="AB242" s="15"/>
      <c r="AC242" s="15"/>
      <c r="AD242" s="15"/>
      <c r="AE242" s="15"/>
    </row>
    <row r="243" spans="1:31" s="33" customFormat="1" ht="13.5" customHeight="1">
      <c r="A243" s="558"/>
      <c r="B243" s="558" t="s">
        <v>146</v>
      </c>
      <c r="C243" s="559"/>
      <c r="D243" s="560"/>
      <c r="E243" s="561"/>
      <c r="F243" s="560"/>
      <c r="G243" s="563"/>
      <c r="H243" s="563"/>
      <c r="I243" s="563"/>
      <c r="J243" s="563"/>
      <c r="K243" s="563"/>
      <c r="L243" s="561"/>
      <c r="M243" s="561"/>
      <c r="N243" s="561"/>
      <c r="O243" s="561"/>
      <c r="P243" s="561"/>
      <c r="Q243" s="561"/>
      <c r="R243" s="561"/>
      <c r="S243" s="561"/>
      <c r="T243" s="561"/>
      <c r="U243" s="561"/>
      <c r="V243" s="561"/>
      <c r="W243" s="561"/>
      <c r="X243" s="567"/>
      <c r="Y243" s="567"/>
      <c r="Z243" s="522"/>
      <c r="AA243" s="15"/>
      <c r="AB243" s="15"/>
      <c r="AC243" s="15"/>
      <c r="AD243" s="15"/>
      <c r="AE243" s="15"/>
    </row>
    <row r="244" spans="1:31" s="33" customFormat="1" ht="13.5" customHeight="1">
      <c r="A244" s="558"/>
      <c r="B244" s="558"/>
      <c r="C244" s="559"/>
      <c r="D244" s="560"/>
      <c r="E244" s="562"/>
      <c r="F244" s="560"/>
      <c r="G244" s="563"/>
      <c r="H244" s="563"/>
      <c r="I244" s="563"/>
      <c r="J244" s="563"/>
      <c r="K244" s="563"/>
      <c r="L244" s="562"/>
      <c r="M244" s="562"/>
      <c r="N244" s="562"/>
      <c r="O244" s="562"/>
      <c r="P244" s="562"/>
      <c r="Q244" s="562"/>
      <c r="R244" s="562"/>
      <c r="S244" s="562"/>
      <c r="T244" s="562"/>
      <c r="U244" s="562"/>
      <c r="V244" s="562"/>
      <c r="W244" s="562"/>
      <c r="X244" s="568"/>
      <c r="Y244" s="568"/>
      <c r="Z244" s="522"/>
      <c r="AA244" s="15"/>
      <c r="AB244" s="15"/>
      <c r="AC244" s="15"/>
      <c r="AD244" s="15"/>
      <c r="AE244" s="15"/>
    </row>
    <row r="245" spans="1:31" s="33" customFormat="1" ht="13.5" customHeight="1">
      <c r="A245" s="557" t="s">
        <v>148</v>
      </c>
      <c r="B245" s="558" t="s">
        <v>147</v>
      </c>
      <c r="C245" s="559"/>
      <c r="D245" s="560"/>
      <c r="E245" s="561"/>
      <c r="F245" s="560"/>
      <c r="G245" s="563"/>
      <c r="H245" s="563"/>
      <c r="I245" s="563"/>
      <c r="J245" s="563"/>
      <c r="K245" s="563"/>
      <c r="L245" s="561"/>
      <c r="M245" s="561"/>
      <c r="N245" s="561"/>
      <c r="O245" s="561"/>
      <c r="P245" s="561"/>
      <c r="Q245" s="561"/>
      <c r="R245" s="561"/>
      <c r="S245" s="561"/>
      <c r="T245" s="561"/>
      <c r="U245" s="561"/>
      <c r="V245" s="561"/>
      <c r="W245" s="561"/>
      <c r="X245" s="567"/>
      <c r="Y245" s="567"/>
      <c r="Z245" s="522"/>
      <c r="AA245" s="15"/>
      <c r="AB245" s="15"/>
      <c r="AC245" s="15"/>
      <c r="AD245" s="15"/>
      <c r="AE245" s="15"/>
    </row>
    <row r="246" spans="1:31" s="33" customFormat="1" ht="13.5" customHeight="1">
      <c r="A246" s="558"/>
      <c r="B246" s="558"/>
      <c r="C246" s="559"/>
      <c r="D246" s="560"/>
      <c r="E246" s="562"/>
      <c r="F246" s="560"/>
      <c r="G246" s="563"/>
      <c r="H246" s="563"/>
      <c r="I246" s="563"/>
      <c r="J246" s="563"/>
      <c r="K246" s="563"/>
      <c r="L246" s="562"/>
      <c r="M246" s="562"/>
      <c r="N246" s="562"/>
      <c r="O246" s="562"/>
      <c r="P246" s="562"/>
      <c r="Q246" s="562"/>
      <c r="R246" s="562"/>
      <c r="S246" s="562"/>
      <c r="T246" s="562"/>
      <c r="U246" s="562"/>
      <c r="V246" s="562"/>
      <c r="W246" s="562"/>
      <c r="X246" s="568"/>
      <c r="Y246" s="568"/>
      <c r="Z246" s="522"/>
      <c r="AA246" s="15"/>
      <c r="AB246" s="15"/>
      <c r="AC246" s="15"/>
      <c r="AD246" s="15"/>
      <c r="AE246" s="15"/>
    </row>
    <row r="247" spans="1:31" s="33" customFormat="1" ht="13.5" customHeight="1">
      <c r="A247" s="558"/>
      <c r="B247" s="558" t="s">
        <v>146</v>
      </c>
      <c r="C247" s="559"/>
      <c r="D247" s="560"/>
      <c r="E247" s="561"/>
      <c r="F247" s="560"/>
      <c r="G247" s="563"/>
      <c r="H247" s="563"/>
      <c r="I247" s="563"/>
      <c r="J247" s="563"/>
      <c r="K247" s="563"/>
      <c r="L247" s="561"/>
      <c r="M247" s="561"/>
      <c r="N247" s="561"/>
      <c r="O247" s="561"/>
      <c r="P247" s="561"/>
      <c r="Q247" s="561"/>
      <c r="R247" s="561"/>
      <c r="S247" s="561"/>
      <c r="T247" s="561"/>
      <c r="U247" s="561"/>
      <c r="V247" s="561"/>
      <c r="W247" s="561"/>
      <c r="X247" s="567"/>
      <c r="Y247" s="567"/>
      <c r="Z247" s="522"/>
      <c r="AA247" s="15"/>
      <c r="AB247" s="15"/>
      <c r="AC247" s="15"/>
      <c r="AD247" s="15"/>
      <c r="AE247" s="15"/>
    </row>
    <row r="248" spans="1:31" s="33" customFormat="1" ht="14.25">
      <c r="A248" s="558"/>
      <c r="B248" s="558"/>
      <c r="C248" s="559"/>
      <c r="D248" s="560"/>
      <c r="E248" s="562"/>
      <c r="F248" s="560"/>
      <c r="G248" s="563"/>
      <c r="H248" s="563"/>
      <c r="I248" s="563"/>
      <c r="J248" s="563"/>
      <c r="K248" s="563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8"/>
      <c r="Y248" s="568"/>
      <c r="Z248" s="527"/>
      <c r="AA248" s="15"/>
      <c r="AB248" s="15"/>
      <c r="AC248" s="15"/>
      <c r="AD248" s="15"/>
      <c r="AE248" s="15"/>
    </row>
    <row r="249" spans="1:31" s="33" customFormat="1" ht="14.25">
      <c r="A249" s="583" t="s">
        <v>145</v>
      </c>
      <c r="B249" s="584"/>
      <c r="C249" s="584"/>
      <c r="D249" s="569">
        <f>D210-D215-D219-D223-D227-D231-D235</f>
        <v>982667</v>
      </c>
      <c r="E249" s="569"/>
      <c r="F249" s="569"/>
      <c r="G249" s="569"/>
      <c r="H249" s="569"/>
      <c r="I249" s="569"/>
      <c r="J249" s="569"/>
      <c r="K249" s="569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>
        <f>V210-V215-V219-V223-V227-V231-V235</f>
        <v>0</v>
      </c>
      <c r="W249" s="569">
        <f>W210-W215-W219-W223-W227-W231-W235</f>
        <v>0</v>
      </c>
      <c r="X249" s="569">
        <f>X210-X215-X219-X223-X227-X231-X235</f>
        <v>0</v>
      </c>
      <c r="Y249" s="569">
        <f>Y210-Y215-Y219-Y223-Y227-Y231-Y235</f>
        <v>0</v>
      </c>
      <c r="Z249" s="390"/>
      <c r="AA249" s="15"/>
      <c r="AB249" s="15"/>
      <c r="AC249" s="15"/>
      <c r="AD249" s="15"/>
      <c r="AE249" s="15"/>
    </row>
    <row r="250" spans="1:31" s="33" customFormat="1" ht="14.25">
      <c r="A250" s="585"/>
      <c r="B250" s="586"/>
      <c r="C250" s="586"/>
      <c r="D250" s="570"/>
      <c r="E250" s="570"/>
      <c r="F250" s="570"/>
      <c r="G250" s="570"/>
      <c r="H250" s="570"/>
      <c r="I250" s="570"/>
      <c r="J250" s="570"/>
      <c r="K250" s="570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70"/>
      <c r="X250" s="570"/>
      <c r="Y250" s="570"/>
      <c r="Z250" s="535"/>
      <c r="AA250" s="15"/>
      <c r="AB250" s="15"/>
      <c r="AC250" s="15"/>
      <c r="AD250" s="15"/>
      <c r="AE250" s="15"/>
    </row>
    <row r="251" spans="1:31" s="33" customFormat="1" ht="14.25">
      <c r="A251" s="373" t="s">
        <v>145</v>
      </c>
      <c r="B251" s="374"/>
      <c r="C251" s="374"/>
      <c r="D251" s="525">
        <f>SUM(D249:Y250)</f>
        <v>982667</v>
      </c>
      <c r="E251" s="525"/>
      <c r="F251" s="525"/>
      <c r="G251" s="525"/>
      <c r="H251" s="525"/>
      <c r="I251" s="525"/>
      <c r="J251" s="525"/>
      <c r="K251" s="525"/>
      <c r="L251" s="525"/>
      <c r="M251" s="525"/>
      <c r="N251" s="525"/>
      <c r="O251" s="525"/>
      <c r="P251" s="525"/>
      <c r="Q251" s="525"/>
      <c r="R251" s="525"/>
      <c r="S251" s="525"/>
      <c r="T251" s="525"/>
      <c r="U251" s="525"/>
      <c r="V251" s="525"/>
      <c r="W251" s="525"/>
      <c r="X251" s="525"/>
      <c r="Y251" s="525"/>
      <c r="Z251" s="533"/>
      <c r="AA251" s="15"/>
      <c r="AB251" s="15"/>
      <c r="AC251" s="15"/>
      <c r="AD251" s="15"/>
      <c r="AE251" s="15"/>
    </row>
    <row r="252" spans="1:31" s="33" customFormat="1" ht="18" customHeight="1">
      <c r="A252" s="375"/>
      <c r="B252" s="376"/>
      <c r="C252" s="376"/>
      <c r="D252" s="525"/>
      <c r="E252" s="525"/>
      <c r="F252" s="525"/>
      <c r="G252" s="525"/>
      <c r="H252" s="525"/>
      <c r="I252" s="525"/>
      <c r="J252" s="525"/>
      <c r="K252" s="525"/>
      <c r="L252" s="525"/>
      <c r="M252" s="525"/>
      <c r="N252" s="525"/>
      <c r="O252" s="525"/>
      <c r="P252" s="525"/>
      <c r="Q252" s="525"/>
      <c r="R252" s="525"/>
      <c r="S252" s="525"/>
      <c r="T252" s="525"/>
      <c r="U252" s="525"/>
      <c r="V252" s="525"/>
      <c r="W252" s="525"/>
      <c r="X252" s="525"/>
      <c r="Y252" s="525"/>
      <c r="Z252" s="533"/>
      <c r="AA252" s="15"/>
      <c r="AB252" s="15"/>
      <c r="AC252" s="15"/>
      <c r="AD252" s="15"/>
      <c r="AE252" s="15"/>
    </row>
    <row r="253" spans="1:31" s="33" customFormat="1" ht="15" thickBot="1">
      <c r="A253" s="373" t="s">
        <v>144</v>
      </c>
      <c r="B253" s="374"/>
      <c r="C253" s="374"/>
      <c r="D253" s="525">
        <f>D251</f>
        <v>982667</v>
      </c>
      <c r="E253" s="525"/>
      <c r="F253" s="525"/>
      <c r="G253" s="525"/>
      <c r="H253" s="525"/>
      <c r="I253" s="525"/>
      <c r="J253" s="525"/>
      <c r="K253" s="525"/>
      <c r="L253" s="525"/>
      <c r="M253" s="525"/>
      <c r="N253" s="525"/>
      <c r="O253" s="525"/>
      <c r="P253" s="525"/>
      <c r="Q253" s="525"/>
      <c r="R253" s="525"/>
      <c r="S253" s="525"/>
      <c r="T253" s="525"/>
      <c r="U253" s="525"/>
      <c r="V253" s="525"/>
      <c r="W253" s="525"/>
      <c r="X253" s="525"/>
      <c r="Y253" s="525"/>
      <c r="Z253" s="534"/>
      <c r="AA253" s="15"/>
      <c r="AB253" s="15"/>
      <c r="AC253" s="15"/>
      <c r="AD253" s="15"/>
      <c r="AE253" s="15"/>
    </row>
    <row r="254" spans="1:31" s="15" customFormat="1" ht="14.25">
      <c r="A254" s="375"/>
      <c r="B254" s="376"/>
      <c r="C254" s="376"/>
      <c r="D254" s="525"/>
      <c r="E254" s="525"/>
      <c r="F254" s="525"/>
      <c r="G254" s="525"/>
      <c r="H254" s="525"/>
      <c r="I254" s="525"/>
      <c r="J254" s="525"/>
      <c r="K254" s="525"/>
      <c r="L254" s="525"/>
      <c r="M254" s="525"/>
      <c r="N254" s="525"/>
      <c r="O254" s="525"/>
      <c r="P254" s="525"/>
      <c r="Q254" s="525"/>
      <c r="R254" s="525"/>
      <c r="S254" s="525"/>
      <c r="T254" s="525"/>
      <c r="U254" s="525"/>
      <c r="V254" s="525"/>
      <c r="W254" s="525"/>
      <c r="X254" s="525"/>
      <c r="Y254" s="525"/>
    </row>
    <row r="255" spans="1:31" s="33" customFormat="1" ht="38.25" customHeight="1">
      <c r="A255" s="15"/>
      <c r="B255" s="15"/>
      <c r="C255" s="15"/>
      <c r="D255" s="23" t="e">
        <f>#REF!+#REF!</f>
        <v>#REF!</v>
      </c>
      <c r="E255" s="15"/>
      <c r="F255" s="15"/>
      <c r="G255" s="23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pans="1:31">
      <c r="P256" s="2"/>
    </row>
    <row r="257" spans="11:11">
      <c r="K257" s="2"/>
    </row>
  </sheetData>
  <mergeCells count="587">
    <mergeCell ref="B81:B82"/>
    <mergeCell ref="B83:B84"/>
    <mergeCell ref="B63:B64"/>
    <mergeCell ref="B65:B66"/>
    <mergeCell ref="B67:B68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21:B22"/>
    <mergeCell ref="B23:B24"/>
    <mergeCell ref="B25:B26"/>
    <mergeCell ref="B27:B28"/>
    <mergeCell ref="B29:B30"/>
    <mergeCell ref="B31:B32"/>
    <mergeCell ref="B86:C86"/>
    <mergeCell ref="A128:C128"/>
    <mergeCell ref="A130:C131"/>
    <mergeCell ref="B69:B70"/>
    <mergeCell ref="B71:B72"/>
    <mergeCell ref="B73:B74"/>
    <mergeCell ref="B75:B76"/>
    <mergeCell ref="B77:B78"/>
    <mergeCell ref="B79:B80"/>
    <mergeCell ref="A3:A8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57:B58"/>
    <mergeCell ref="B59:B60"/>
    <mergeCell ref="B61:B62"/>
    <mergeCell ref="A87:A127"/>
    <mergeCell ref="A129:C129"/>
    <mergeCell ref="A208:A209"/>
    <mergeCell ref="B209:C209"/>
    <mergeCell ref="A210:C211"/>
    <mergeCell ref="D210:D211"/>
    <mergeCell ref="U210:U211"/>
    <mergeCell ref="L210:L211"/>
    <mergeCell ref="M210:M211"/>
    <mergeCell ref="O210:O211"/>
    <mergeCell ref="P210:P211"/>
    <mergeCell ref="Q210:Q211"/>
    <mergeCell ref="R210:R211"/>
    <mergeCell ref="S210:S211"/>
    <mergeCell ref="J213:J214"/>
    <mergeCell ref="Y213:Y214"/>
    <mergeCell ref="Y215:Y216"/>
    <mergeCell ref="S215:S216"/>
    <mergeCell ref="R215:R216"/>
    <mergeCell ref="Y217:Y218"/>
    <mergeCell ref="M217:M218"/>
    <mergeCell ref="K217:K218"/>
    <mergeCell ref="Z209:Z210"/>
    <mergeCell ref="T210:T211"/>
    <mergeCell ref="Y210:Y211"/>
    <mergeCell ref="W210:W211"/>
    <mergeCell ref="X210:X211"/>
    <mergeCell ref="V210:V211"/>
    <mergeCell ref="N210:N211"/>
    <mergeCell ref="N213:N214"/>
    <mergeCell ref="L213:L214"/>
    <mergeCell ref="L215:L216"/>
    <mergeCell ref="Z214:Z215"/>
    <mergeCell ref="S213:S214"/>
    <mergeCell ref="V213:V214"/>
    <mergeCell ref="Q213:Q214"/>
    <mergeCell ref="R213:R214"/>
    <mergeCell ref="K213:K214"/>
    <mergeCell ref="P213:P214"/>
    <mergeCell ref="O213:O214"/>
    <mergeCell ref="Z212:Z213"/>
    <mergeCell ref="X213:X214"/>
    <mergeCell ref="W213:W214"/>
    <mergeCell ref="X215:X216"/>
    <mergeCell ref="Q217:Q218"/>
    <mergeCell ref="S217:S218"/>
    <mergeCell ref="O217:O218"/>
    <mergeCell ref="X217:X218"/>
    <mergeCell ref="T217:T218"/>
    <mergeCell ref="R221:R222"/>
    <mergeCell ref="M221:M222"/>
    <mergeCell ref="U221:U222"/>
    <mergeCell ref="V221:V222"/>
    <mergeCell ref="N223:N224"/>
    <mergeCell ref="Z222:Z223"/>
    <mergeCell ref="W221:W222"/>
    <mergeCell ref="X221:X222"/>
    <mergeCell ref="Y221:Y222"/>
    <mergeCell ref="X223:X224"/>
    <mergeCell ref="O221:O222"/>
    <mergeCell ref="L223:L224"/>
    <mergeCell ref="M223:M224"/>
    <mergeCell ref="Z220:Z221"/>
    <mergeCell ref="S219:S220"/>
    <mergeCell ref="M219:M220"/>
    <mergeCell ref="L221:L222"/>
    <mergeCell ref="Z218:Z219"/>
    <mergeCell ref="R217:R218"/>
    <mergeCell ref="U217:U218"/>
    <mergeCell ref="V217:V218"/>
    <mergeCell ref="W217:W218"/>
    <mergeCell ref="N217:N218"/>
    <mergeCell ref="N219:N220"/>
    <mergeCell ref="Z216:Z217"/>
    <mergeCell ref="U215:U216"/>
    <mergeCell ref="V215:V216"/>
    <mergeCell ref="W215:W216"/>
    <mergeCell ref="Y219:Y220"/>
    <mergeCell ref="T221:T222"/>
    <mergeCell ref="S221:S222"/>
    <mergeCell ref="N221:N222"/>
    <mergeCell ref="X219:X220"/>
    <mergeCell ref="P221:P222"/>
    <mergeCell ref="Q221:Q222"/>
    <mergeCell ref="Y227:Y228"/>
    <mergeCell ref="Z226:Z227"/>
    <mergeCell ref="V225:V226"/>
    <mergeCell ref="W225:W226"/>
    <mergeCell ref="U225:U226"/>
    <mergeCell ref="T225:T226"/>
    <mergeCell ref="O225:O226"/>
    <mergeCell ref="Q225:Q226"/>
    <mergeCell ref="P225:P226"/>
    <mergeCell ref="Z224:Z225"/>
    <mergeCell ref="U223:U224"/>
    <mergeCell ref="V223:V224"/>
    <mergeCell ref="W223:W224"/>
    <mergeCell ref="X225:X226"/>
    <mergeCell ref="O223:O224"/>
    <mergeCell ref="P223:P224"/>
    <mergeCell ref="R225:R226"/>
    <mergeCell ref="Q223:Q224"/>
    <mergeCell ref="R223:R224"/>
    <mergeCell ref="S223:S224"/>
    <mergeCell ref="Y225:Y226"/>
    <mergeCell ref="Y223:Y224"/>
    <mergeCell ref="T223:T224"/>
    <mergeCell ref="S225:S226"/>
    <mergeCell ref="I233:I234"/>
    <mergeCell ref="M231:M232"/>
    <mergeCell ref="A229:A232"/>
    <mergeCell ref="B229:C230"/>
    <mergeCell ref="D229:D230"/>
    <mergeCell ref="E229:E230"/>
    <mergeCell ref="Z230:Z231"/>
    <mergeCell ref="X229:X230"/>
    <mergeCell ref="Y229:Y230"/>
    <mergeCell ref="U229:U230"/>
    <mergeCell ref="V229:V230"/>
    <mergeCell ref="P229:P230"/>
    <mergeCell ref="O229:O230"/>
    <mergeCell ref="T229:T230"/>
    <mergeCell ref="I229:I230"/>
    <mergeCell ref="M229:M230"/>
    <mergeCell ref="J229:J230"/>
    <mergeCell ref="K229:K230"/>
    <mergeCell ref="F229:F230"/>
    <mergeCell ref="G229:G230"/>
    <mergeCell ref="H229:H230"/>
    <mergeCell ref="B231:C232"/>
    <mergeCell ref="Z228:Z229"/>
    <mergeCell ref="W229:W230"/>
    <mergeCell ref="I237:I238"/>
    <mergeCell ref="J239:J240"/>
    <mergeCell ref="J237:J238"/>
    <mergeCell ref="L239:L240"/>
    <mergeCell ref="Z236:Z237"/>
    <mergeCell ref="X235:X236"/>
    <mergeCell ref="Y235:Y236"/>
    <mergeCell ref="O235:O236"/>
    <mergeCell ref="R235:R236"/>
    <mergeCell ref="Q235:Q236"/>
    <mergeCell ref="I235:I236"/>
    <mergeCell ref="Z234:Z235"/>
    <mergeCell ref="S233:S234"/>
    <mergeCell ref="U233:U234"/>
    <mergeCell ref="V233:V234"/>
    <mergeCell ref="W233:W234"/>
    <mergeCell ref="Z232:Z233"/>
    <mergeCell ref="X231:X232"/>
    <mergeCell ref="Y231:Y232"/>
    <mergeCell ref="U231:U232"/>
    <mergeCell ref="V231:V232"/>
    <mergeCell ref="R231:R232"/>
    <mergeCell ref="S231:S232"/>
    <mergeCell ref="I231:I232"/>
    <mergeCell ref="I241:I242"/>
    <mergeCell ref="H241:H242"/>
    <mergeCell ref="J241:J242"/>
    <mergeCell ref="M239:M240"/>
    <mergeCell ref="D243:D244"/>
    <mergeCell ref="B241:C242"/>
    <mergeCell ref="D241:D242"/>
    <mergeCell ref="A241:A244"/>
    <mergeCell ref="H239:H240"/>
    <mergeCell ref="E241:E242"/>
    <mergeCell ref="F241:F242"/>
    <mergeCell ref="B243:C244"/>
    <mergeCell ref="K243:K244"/>
    <mergeCell ref="Z242:Z243"/>
    <mergeCell ref="U241:U242"/>
    <mergeCell ref="M241:M242"/>
    <mergeCell ref="L241:L242"/>
    <mergeCell ref="O241:O242"/>
    <mergeCell ref="N241:N242"/>
    <mergeCell ref="Z240:Z241"/>
    <mergeCell ref="Y239:Y240"/>
    <mergeCell ref="V239:V240"/>
    <mergeCell ref="Y241:Y242"/>
    <mergeCell ref="W239:W240"/>
    <mergeCell ref="S239:S240"/>
    <mergeCell ref="Z238:Z239"/>
    <mergeCell ref="U237:U238"/>
    <mergeCell ref="X237:X238"/>
    <mergeCell ref="Y237:Y238"/>
    <mergeCell ref="X239:X240"/>
    <mergeCell ref="S237:S238"/>
    <mergeCell ref="Q237:Q238"/>
    <mergeCell ref="T239:T240"/>
    <mergeCell ref="N239:N240"/>
    <mergeCell ref="V237:V238"/>
    <mergeCell ref="W237:W238"/>
    <mergeCell ref="W241:W242"/>
    <mergeCell ref="E247:E248"/>
    <mergeCell ref="F247:F248"/>
    <mergeCell ref="Z246:Z247"/>
    <mergeCell ref="I245:I246"/>
    <mergeCell ref="L247:L248"/>
    <mergeCell ref="N247:N248"/>
    <mergeCell ref="X245:X246"/>
    <mergeCell ref="Y245:Y246"/>
    <mergeCell ref="W245:W246"/>
    <mergeCell ref="G247:G248"/>
    <mergeCell ref="H247:H248"/>
    <mergeCell ref="G245:G246"/>
    <mergeCell ref="H245:H246"/>
    <mergeCell ref="Z244:Z245"/>
    <mergeCell ref="U243:U244"/>
    <mergeCell ref="X243:X244"/>
    <mergeCell ref="Y243:Y244"/>
    <mergeCell ref="P243:P244"/>
    <mergeCell ref="R243:R244"/>
    <mergeCell ref="S243:S244"/>
    <mergeCell ref="Q243:Q244"/>
    <mergeCell ref="I243:I244"/>
    <mergeCell ref="L243:L244"/>
    <mergeCell ref="J243:J244"/>
    <mergeCell ref="B146:C147"/>
    <mergeCell ref="B208:C208"/>
    <mergeCell ref="B206:C207"/>
    <mergeCell ref="Z250:Z251"/>
    <mergeCell ref="Z252:Z253"/>
    <mergeCell ref="A253:C254"/>
    <mergeCell ref="D253:Y254"/>
    <mergeCell ref="A249:C250"/>
    <mergeCell ref="D249:D250"/>
    <mergeCell ref="Z248:Z249"/>
    <mergeCell ref="V249:V250"/>
    <mergeCell ref="V247:V248"/>
    <mergeCell ref="Y247:Y248"/>
    <mergeCell ref="X247:X248"/>
    <mergeCell ref="S249:S250"/>
    <mergeCell ref="T249:T250"/>
    <mergeCell ref="Q249:Q250"/>
    <mergeCell ref="R249:R250"/>
    <mergeCell ref="I247:I248"/>
    <mergeCell ref="M249:M250"/>
    <mergeCell ref="K249:K250"/>
    <mergeCell ref="M247:M248"/>
    <mergeCell ref="B247:C248"/>
    <mergeCell ref="D247:D248"/>
    <mergeCell ref="B200:B201"/>
    <mergeCell ref="I210:I211"/>
    <mergeCell ref="B202:C203"/>
    <mergeCell ref="B184:C185"/>
    <mergeCell ref="B180:C181"/>
    <mergeCell ref="B182:C183"/>
    <mergeCell ref="B186:C187"/>
    <mergeCell ref="B168:C169"/>
    <mergeCell ref="B172:C173"/>
    <mergeCell ref="B178:C179"/>
    <mergeCell ref="E210:E211"/>
    <mergeCell ref="F210:F211"/>
    <mergeCell ref="G210:G211"/>
    <mergeCell ref="H210:H211"/>
    <mergeCell ref="B136:C137"/>
    <mergeCell ref="B166:C167"/>
    <mergeCell ref="B152:B153"/>
    <mergeCell ref="B156:C157"/>
    <mergeCell ref="B158:B159"/>
    <mergeCell ref="B162:C163"/>
    <mergeCell ref="A132:A133"/>
    <mergeCell ref="B133:C133"/>
    <mergeCell ref="B160:C161"/>
    <mergeCell ref="B164:C165"/>
    <mergeCell ref="B132:C132"/>
    <mergeCell ref="B134:C135"/>
    <mergeCell ref="B138:C139"/>
    <mergeCell ref="B140:C141"/>
    <mergeCell ref="A134:A205"/>
    <mergeCell ref="B204:C205"/>
    <mergeCell ref="B142:C143"/>
    <mergeCell ref="B174:C175"/>
    <mergeCell ref="B170:C171"/>
    <mergeCell ref="B148:C149"/>
    <mergeCell ref="B150:C151"/>
    <mergeCell ref="B154:C155"/>
    <mergeCell ref="B144:C145"/>
    <mergeCell ref="B176:B177"/>
    <mergeCell ref="B215:C216"/>
    <mergeCell ref="D215:D216"/>
    <mergeCell ref="E215:E216"/>
    <mergeCell ref="F215:F216"/>
    <mergeCell ref="G215:G216"/>
    <mergeCell ref="H215:H216"/>
    <mergeCell ref="U213:U214"/>
    <mergeCell ref="T213:T214"/>
    <mergeCell ref="T215:T216"/>
    <mergeCell ref="B213:C214"/>
    <mergeCell ref="D213:D214"/>
    <mergeCell ref="E213:E214"/>
    <mergeCell ref="F213:F214"/>
    <mergeCell ref="I213:I214"/>
    <mergeCell ref="I215:I216"/>
    <mergeCell ref="J215:J216"/>
    <mergeCell ref="G213:G214"/>
    <mergeCell ref="H213:H214"/>
    <mergeCell ref="K215:K216"/>
    <mergeCell ref="P215:P216"/>
    <mergeCell ref="O215:O216"/>
    <mergeCell ref="Q215:Q216"/>
    <mergeCell ref="N215:N216"/>
    <mergeCell ref="M215:M216"/>
    <mergeCell ref="A221:A224"/>
    <mergeCell ref="B221:C222"/>
    <mergeCell ref="D221:D222"/>
    <mergeCell ref="E221:E222"/>
    <mergeCell ref="F221:F222"/>
    <mergeCell ref="G221:G222"/>
    <mergeCell ref="H221:H222"/>
    <mergeCell ref="J221:J222"/>
    <mergeCell ref="K221:K222"/>
    <mergeCell ref="I221:I222"/>
    <mergeCell ref="I223:I224"/>
    <mergeCell ref="H223:H224"/>
    <mergeCell ref="J223:J224"/>
    <mergeCell ref="B223:C224"/>
    <mergeCell ref="D223:D224"/>
    <mergeCell ref="E223:E224"/>
    <mergeCell ref="F223:F224"/>
    <mergeCell ref="K223:K224"/>
    <mergeCell ref="G223:G224"/>
    <mergeCell ref="B219:C220"/>
    <mergeCell ref="D219:D220"/>
    <mergeCell ref="E219:E220"/>
    <mergeCell ref="F219:F220"/>
    <mergeCell ref="G219:G220"/>
    <mergeCell ref="J219:J220"/>
    <mergeCell ref="P217:P218"/>
    <mergeCell ref="I217:I218"/>
    <mergeCell ref="I219:I220"/>
    <mergeCell ref="O219:O220"/>
    <mergeCell ref="P219:P220"/>
    <mergeCell ref="Q219:Q220"/>
    <mergeCell ref="L219:L220"/>
    <mergeCell ref="W219:W220"/>
    <mergeCell ref="K219:K220"/>
    <mergeCell ref="J217:J218"/>
    <mergeCell ref="R219:R220"/>
    <mergeCell ref="U219:U220"/>
    <mergeCell ref="V219:V220"/>
    <mergeCell ref="T219:T220"/>
    <mergeCell ref="X227:X228"/>
    <mergeCell ref="B225:C226"/>
    <mergeCell ref="D225:D226"/>
    <mergeCell ref="E225:E226"/>
    <mergeCell ref="F225:F226"/>
    <mergeCell ref="G225:G226"/>
    <mergeCell ref="Q227:Q228"/>
    <mergeCell ref="P227:P228"/>
    <mergeCell ref="O227:O228"/>
    <mergeCell ref="I227:I228"/>
    <mergeCell ref="M227:M228"/>
    <mergeCell ref="L227:L228"/>
    <mergeCell ref="J227:J228"/>
    <mergeCell ref="I225:I226"/>
    <mergeCell ref="K225:K226"/>
    <mergeCell ref="W227:W228"/>
    <mergeCell ref="M225:M226"/>
    <mergeCell ref="R227:R228"/>
    <mergeCell ref="S227:S228"/>
    <mergeCell ref="U227:U228"/>
    <mergeCell ref="V227:V228"/>
    <mergeCell ref="N227:N228"/>
    <mergeCell ref="A251:C252"/>
    <mergeCell ref="S247:S248"/>
    <mergeCell ref="U247:U248"/>
    <mergeCell ref="T233:T234"/>
    <mergeCell ref="T241:T242"/>
    <mergeCell ref="P247:P248"/>
    <mergeCell ref="O233:O234"/>
    <mergeCell ref="M233:M234"/>
    <mergeCell ref="L233:L234"/>
    <mergeCell ref="P245:P246"/>
    <mergeCell ref="K241:K242"/>
    <mergeCell ref="T237:T238"/>
    <mergeCell ref="N237:N238"/>
    <mergeCell ref="S241:S242"/>
    <mergeCell ref="U239:U240"/>
    <mergeCell ref="R237:R238"/>
    <mergeCell ref="K239:K240"/>
    <mergeCell ref="A233:A236"/>
    <mergeCell ref="H233:H234"/>
    <mergeCell ref="R233:R234"/>
    <mergeCell ref="J233:J234"/>
    <mergeCell ref="K233:K234"/>
    <mergeCell ref="B239:C240"/>
    <mergeCell ref="D239:D240"/>
    <mergeCell ref="D251:Y252"/>
    <mergeCell ref="O249:O250"/>
    <mergeCell ref="U249:U250"/>
    <mergeCell ref="E249:E250"/>
    <mergeCell ref="F249:F250"/>
    <mergeCell ref="G249:G250"/>
    <mergeCell ref="Y249:Y250"/>
    <mergeCell ref="W249:W250"/>
    <mergeCell ref="X249:X250"/>
    <mergeCell ref="L249:L250"/>
    <mergeCell ref="I249:I250"/>
    <mergeCell ref="H249:H250"/>
    <mergeCell ref="J249:J250"/>
    <mergeCell ref="R245:R246"/>
    <mergeCell ref="S245:S246"/>
    <mergeCell ref="V245:V246"/>
    <mergeCell ref="V243:V244"/>
    <mergeCell ref="T227:T228"/>
    <mergeCell ref="R229:R230"/>
    <mergeCell ref="S229:S230"/>
    <mergeCell ref="O239:O240"/>
    <mergeCell ref="U245:U246"/>
    <mergeCell ref="T245:T246"/>
    <mergeCell ref="Q239:Q240"/>
    <mergeCell ref="Y233:Y234"/>
    <mergeCell ref="U235:U236"/>
    <mergeCell ref="X233:X234"/>
    <mergeCell ref="P233:P234"/>
    <mergeCell ref="W231:W232"/>
    <mergeCell ref="V235:V236"/>
    <mergeCell ref="W235:W236"/>
    <mergeCell ref="T235:T236"/>
    <mergeCell ref="T231:T232"/>
    <mergeCell ref="X241:X242"/>
    <mergeCell ref="Q233:Q234"/>
    <mergeCell ref="R239:R240"/>
    <mergeCell ref="S235:S236"/>
    <mergeCell ref="P239:P240"/>
    <mergeCell ref="R241:R242"/>
    <mergeCell ref="V241:V242"/>
    <mergeCell ref="W243:W244"/>
    <mergeCell ref="T243:T244"/>
    <mergeCell ref="K247:K248"/>
    <mergeCell ref="Q241:Q242"/>
    <mergeCell ref="N249:N250"/>
    <mergeCell ref="J247:J248"/>
    <mergeCell ref="Q245:Q246"/>
    <mergeCell ref="O247:O248"/>
    <mergeCell ref="M243:M244"/>
    <mergeCell ref="P249:P250"/>
    <mergeCell ref="O245:O246"/>
    <mergeCell ref="M245:M246"/>
    <mergeCell ref="L245:L246"/>
    <mergeCell ref="J245:J246"/>
    <mergeCell ref="K245:K246"/>
    <mergeCell ref="P241:P242"/>
    <mergeCell ref="O243:O244"/>
    <mergeCell ref="N245:N246"/>
    <mergeCell ref="W247:W248"/>
    <mergeCell ref="R247:R248"/>
    <mergeCell ref="T247:T248"/>
    <mergeCell ref="Q247:Q248"/>
    <mergeCell ref="J235:J236"/>
    <mergeCell ref="J231:J232"/>
    <mergeCell ref="K227:K228"/>
    <mergeCell ref="K231:K232"/>
    <mergeCell ref="L231:L232"/>
    <mergeCell ref="Q231:Q232"/>
    <mergeCell ref="P231:P232"/>
    <mergeCell ref="O231:O232"/>
    <mergeCell ref="L229:L230"/>
    <mergeCell ref="K235:K236"/>
    <mergeCell ref="L235:L236"/>
    <mergeCell ref="M235:M236"/>
    <mergeCell ref="P235:P236"/>
    <mergeCell ref="Q229:Q230"/>
    <mergeCell ref="N229:N230"/>
    <mergeCell ref="N233:N234"/>
    <mergeCell ref="M237:M238"/>
    <mergeCell ref="O237:O238"/>
    <mergeCell ref="P237:P238"/>
    <mergeCell ref="N243:N244"/>
    <mergeCell ref="M213:M214"/>
    <mergeCell ref="L217:L218"/>
    <mergeCell ref="E243:E244"/>
    <mergeCell ref="F243:F244"/>
    <mergeCell ref="G243:G244"/>
    <mergeCell ref="H243:H244"/>
    <mergeCell ref="G241:G242"/>
    <mergeCell ref="K237:K238"/>
    <mergeCell ref="N225:N226"/>
    <mergeCell ref="L225:L226"/>
    <mergeCell ref="L237:L238"/>
    <mergeCell ref="E239:E240"/>
    <mergeCell ref="F239:F240"/>
    <mergeCell ref="G239:G240"/>
    <mergeCell ref="E237:E238"/>
    <mergeCell ref="F237:F238"/>
    <mergeCell ref="G237:G238"/>
    <mergeCell ref="H237:H238"/>
    <mergeCell ref="E233:E234"/>
    <mergeCell ref="N231:N232"/>
    <mergeCell ref="N235:N236"/>
    <mergeCell ref="G217:G218"/>
    <mergeCell ref="H217:H218"/>
    <mergeCell ref="I239:I240"/>
    <mergeCell ref="A225:A228"/>
    <mergeCell ref="A213:A216"/>
    <mergeCell ref="A212:C212"/>
    <mergeCell ref="J210:J211"/>
    <mergeCell ref="K210:K211"/>
    <mergeCell ref="B188:C189"/>
    <mergeCell ref="B190:C191"/>
    <mergeCell ref="B192:C193"/>
    <mergeCell ref="B194:C195"/>
    <mergeCell ref="B196:C197"/>
    <mergeCell ref="B198:C199"/>
    <mergeCell ref="B227:C228"/>
    <mergeCell ref="D227:D228"/>
    <mergeCell ref="E227:E228"/>
    <mergeCell ref="F227:F228"/>
    <mergeCell ref="G227:G228"/>
    <mergeCell ref="H227:H228"/>
    <mergeCell ref="H225:H226"/>
    <mergeCell ref="A217:A220"/>
    <mergeCell ref="B217:C218"/>
    <mergeCell ref="D217:D218"/>
    <mergeCell ref="E217:E218"/>
    <mergeCell ref="F217:F218"/>
    <mergeCell ref="H219:H220"/>
    <mergeCell ref="A245:A248"/>
    <mergeCell ref="B245:C246"/>
    <mergeCell ref="D245:D246"/>
    <mergeCell ref="E245:E246"/>
    <mergeCell ref="F245:F246"/>
    <mergeCell ref="J225:J226"/>
    <mergeCell ref="A237:A240"/>
    <mergeCell ref="B237:C238"/>
    <mergeCell ref="D237:D238"/>
    <mergeCell ref="B233:C234"/>
    <mergeCell ref="D233:D234"/>
    <mergeCell ref="B235:C236"/>
    <mergeCell ref="D235:D236"/>
    <mergeCell ref="F235:F236"/>
    <mergeCell ref="G235:G236"/>
    <mergeCell ref="H235:H236"/>
    <mergeCell ref="D231:D232"/>
    <mergeCell ref="E231:E232"/>
    <mergeCell ref="F231:F232"/>
    <mergeCell ref="G231:G232"/>
    <mergeCell ref="H231:H232"/>
    <mergeCell ref="F233:F234"/>
    <mergeCell ref="G233:G234"/>
    <mergeCell ref="E235:E236"/>
  </mergeCells>
  <phoneticPr fontId="28"/>
  <pageMargins left="0" right="0" top="0" bottom="0" header="0" footer="0"/>
  <pageSetup paperSize="8" scale="1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A9EB-50A1-42A1-8001-4EDC5BFB0628}">
  <sheetPr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defaultColWidth="9" defaultRowHeight="13.5"/>
  <cols>
    <col min="3" max="3" width="11.125" customWidth="1"/>
    <col min="4" max="8" width="14" customWidth="1"/>
    <col min="9" max="9" width="13" customWidth="1"/>
    <col min="10" max="10" width="10.375" bestFit="1" customWidth="1"/>
    <col min="11" max="11" width="9.125" bestFit="1" customWidth="1"/>
    <col min="12" max="13" width="11.375" bestFit="1" customWidth="1"/>
  </cols>
  <sheetData>
    <row r="1" spans="1:13">
      <c r="A1" s="1" t="s">
        <v>90</v>
      </c>
      <c r="B1" s="1"/>
      <c r="C1" s="1"/>
      <c r="E1" t="s">
        <v>254</v>
      </c>
    </row>
    <row r="2" spans="1:13">
      <c r="A2" s="3"/>
      <c r="B2" s="7"/>
      <c r="C2" s="7" t="s">
        <v>1</v>
      </c>
      <c r="D2" s="10">
        <v>45506</v>
      </c>
      <c r="E2" s="303">
        <v>45567</v>
      </c>
      <c r="F2" s="303">
        <v>45595</v>
      </c>
      <c r="G2" s="303">
        <v>45757</v>
      </c>
      <c r="H2" s="303">
        <v>45813</v>
      </c>
      <c r="I2" s="44" t="s">
        <v>2</v>
      </c>
    </row>
    <row r="3" spans="1:13" ht="13.5" customHeight="1">
      <c r="A3" s="611" t="s">
        <v>226</v>
      </c>
      <c r="B3" s="614" t="s">
        <v>235</v>
      </c>
      <c r="C3" s="63" t="s">
        <v>5</v>
      </c>
      <c r="D3" s="8">
        <v>1686102</v>
      </c>
      <c r="E3" s="45">
        <v>1971216</v>
      </c>
      <c r="F3" s="45">
        <v>2365572</v>
      </c>
      <c r="G3" s="45">
        <v>2100112</v>
      </c>
      <c r="H3" s="45">
        <v>2051808</v>
      </c>
      <c r="I3" s="225">
        <f>SUM(D3:G3)</f>
        <v>8123002</v>
      </c>
      <c r="J3" s="2"/>
    </row>
    <row r="4" spans="1:13">
      <c r="A4" s="612"/>
      <c r="B4" s="614"/>
      <c r="C4" s="63" t="s">
        <v>73</v>
      </c>
      <c r="D4" s="52">
        <f>D3*1.1</f>
        <v>1854712.2000000002</v>
      </c>
      <c r="E4" s="52">
        <f>E3*1.1-1</f>
        <v>2168336.6</v>
      </c>
      <c r="F4" s="52">
        <f>F3*1.1</f>
        <v>2602129.2000000002</v>
      </c>
      <c r="G4" s="348">
        <f>G3*1.1</f>
        <v>2310123.2000000002</v>
      </c>
      <c r="H4" s="348">
        <f>H3*1.1</f>
        <v>2256988.8000000003</v>
      </c>
      <c r="I4" s="225">
        <f>SUM(D4:F4)</f>
        <v>6625178</v>
      </c>
      <c r="J4" s="5">
        <f>I4-I3</f>
        <v>-1497824</v>
      </c>
    </row>
    <row r="5" spans="1:13">
      <c r="A5" s="613"/>
      <c r="B5" s="615" t="s">
        <v>74</v>
      </c>
      <c r="C5" s="616"/>
      <c r="D5" s="52">
        <f>D3</f>
        <v>1686102</v>
      </c>
      <c r="E5" s="52">
        <f>E3</f>
        <v>1971216</v>
      </c>
      <c r="F5" s="52">
        <f>F3</f>
        <v>2365572</v>
      </c>
      <c r="G5" s="52">
        <f>G3</f>
        <v>2100112</v>
      </c>
      <c r="H5" s="52">
        <f>H3</f>
        <v>2051808</v>
      </c>
      <c r="I5" s="225">
        <f>SUM(D5:F5)</f>
        <v>6022890</v>
      </c>
    </row>
    <row r="6" spans="1:13" ht="28.5">
      <c r="A6" s="213" t="s">
        <v>234</v>
      </c>
      <c r="B6" s="214" t="s">
        <v>235</v>
      </c>
      <c r="C6" s="61" t="s">
        <v>5</v>
      </c>
      <c r="D6" s="8">
        <v>1939962</v>
      </c>
      <c r="E6" s="45">
        <v>2267952</v>
      </c>
      <c r="F6" s="45">
        <v>2721636</v>
      </c>
      <c r="G6" s="45">
        <v>2416388</v>
      </c>
      <c r="H6" s="45">
        <v>2360736</v>
      </c>
      <c r="I6" s="225">
        <f>SUM(D6:G6)</f>
        <v>9345938</v>
      </c>
    </row>
    <row r="7" spans="1:13" ht="26.25" customHeight="1">
      <c r="A7" s="617" t="s">
        <v>75</v>
      </c>
      <c r="B7" s="617"/>
      <c r="C7" s="63" t="s">
        <v>5</v>
      </c>
      <c r="D7" s="62">
        <f>D6</f>
        <v>1939962</v>
      </c>
      <c r="E7" s="62">
        <f>E6+I17</f>
        <v>2270152</v>
      </c>
      <c r="F7" s="62">
        <f>F6+I17</f>
        <v>2723836</v>
      </c>
      <c r="G7" s="62">
        <f>G6+I17</f>
        <v>2418588</v>
      </c>
      <c r="H7" s="62">
        <f>H6</f>
        <v>2360736</v>
      </c>
      <c r="I7" s="225">
        <f>SUM(D7:F7)</f>
        <v>6933950</v>
      </c>
      <c r="J7" s="5">
        <f>55800000+I7</f>
        <v>62733950</v>
      </c>
    </row>
    <row r="8" spans="1:13">
      <c r="A8" s="618" t="s">
        <v>76</v>
      </c>
      <c r="B8" s="617" t="s">
        <v>77</v>
      </c>
      <c r="C8" s="617"/>
      <c r="D8" s="62">
        <f>D7-D5</f>
        <v>253860</v>
      </c>
      <c r="E8" s="62">
        <f>E7-E5</f>
        <v>298936</v>
      </c>
      <c r="F8" s="62">
        <f>F7-F5</f>
        <v>358264</v>
      </c>
      <c r="G8" s="62">
        <f>G7-G5</f>
        <v>318476</v>
      </c>
      <c r="H8" s="62">
        <f>H7-H5</f>
        <v>308928</v>
      </c>
      <c r="I8" s="225">
        <f>SUM(D8:E8)</f>
        <v>552796</v>
      </c>
      <c r="J8">
        <v>8506639</v>
      </c>
      <c r="K8" s="5"/>
    </row>
    <row r="9" spans="1:13">
      <c r="A9" s="618"/>
      <c r="B9" s="617" t="s">
        <v>78</v>
      </c>
      <c r="C9" s="617"/>
      <c r="D9" s="53">
        <f t="shared" ref="D9:I9" si="0">D8/D7</f>
        <v>0.13085823330560084</v>
      </c>
      <c r="E9" s="53">
        <f t="shared" si="0"/>
        <v>0.13168105043186534</v>
      </c>
      <c r="F9" s="53">
        <f t="shared" si="0"/>
        <v>0.13152921100976711</v>
      </c>
      <c r="G9" s="53">
        <f t="shared" si="0"/>
        <v>0.1316784834787901</v>
      </c>
      <c r="H9" s="53">
        <f t="shared" si="0"/>
        <v>0.13086088406327517</v>
      </c>
      <c r="I9" s="226">
        <f t="shared" si="0"/>
        <v>7.9723101551063963E-2</v>
      </c>
    </row>
    <row r="10" spans="1:13" ht="13.5" hidden="1" customHeight="1">
      <c r="A10" s="619" t="s">
        <v>79</v>
      </c>
      <c r="B10" s="620" t="s">
        <v>80</v>
      </c>
      <c r="C10" s="620"/>
      <c r="D10" s="7"/>
      <c r="E10" s="44"/>
      <c r="F10" s="44"/>
      <c r="G10" s="44"/>
      <c r="H10" s="44"/>
      <c r="I10" s="225" t="e">
        <f>SUM(#REF!)</f>
        <v>#REF!</v>
      </c>
    </row>
    <row r="11" spans="1:13" ht="13.5" hidden="1" customHeight="1">
      <c r="A11" s="618"/>
      <c r="B11" s="620"/>
      <c r="C11" s="620"/>
      <c r="D11" s="7"/>
      <c r="E11" s="44"/>
      <c r="F11" s="44"/>
      <c r="G11" s="44"/>
      <c r="H11" s="44"/>
      <c r="I11" s="225" t="e">
        <f>SUM(#REF!)</f>
        <v>#REF!</v>
      </c>
    </row>
    <row r="12" spans="1:13" ht="13.5" hidden="1" customHeight="1">
      <c r="A12" s="618"/>
      <c r="B12" s="620" t="s">
        <v>81</v>
      </c>
      <c r="C12" s="620"/>
      <c r="D12" s="7"/>
      <c r="E12" s="44"/>
      <c r="F12" s="44"/>
      <c r="G12" s="44"/>
      <c r="H12" s="44"/>
      <c r="I12" s="225" t="e">
        <f>SUM(#REF!)</f>
        <v>#REF!</v>
      </c>
    </row>
    <row r="13" spans="1:13" ht="13.5" hidden="1" customHeight="1">
      <c r="A13" s="618"/>
      <c r="B13" s="620"/>
      <c r="C13" s="620"/>
      <c r="D13" s="7"/>
      <c r="E13" s="44"/>
      <c r="F13" s="44"/>
      <c r="G13" s="44"/>
      <c r="H13" s="44"/>
      <c r="I13" s="225" t="e">
        <f>SUM(#REF!)</f>
        <v>#REF!</v>
      </c>
    </row>
    <row r="14" spans="1:13">
      <c r="A14" s="617" t="s">
        <v>82</v>
      </c>
      <c r="B14" s="617"/>
      <c r="C14" s="617"/>
      <c r="D14" s="606">
        <f>D7+2200</f>
        <v>1942162</v>
      </c>
      <c r="E14" s="606">
        <f>E7</f>
        <v>2270152</v>
      </c>
      <c r="F14" s="606">
        <f>F7</f>
        <v>2723836</v>
      </c>
      <c r="G14" s="606">
        <f>G7</f>
        <v>2418588</v>
      </c>
      <c r="H14" s="606">
        <f>H7</f>
        <v>2360736</v>
      </c>
      <c r="I14" s="227"/>
      <c r="M14" s="2">
        <f>D3+12804072</f>
        <v>14490174</v>
      </c>
    </row>
    <row r="15" spans="1:13">
      <c r="A15" s="617"/>
      <c r="B15" s="617"/>
      <c r="C15" s="617"/>
      <c r="D15" s="606"/>
      <c r="E15" s="606"/>
      <c r="F15" s="606"/>
      <c r="G15" s="606"/>
      <c r="H15" s="606"/>
    </row>
    <row r="16" spans="1:13" ht="26.25" customHeight="1">
      <c r="A16" s="617" t="s">
        <v>83</v>
      </c>
      <c r="B16" s="617"/>
      <c r="C16" s="617"/>
      <c r="D16" s="72">
        <v>45560</v>
      </c>
      <c r="E16" s="72">
        <v>45618</v>
      </c>
      <c r="F16" s="72">
        <v>45648</v>
      </c>
      <c r="G16" s="72"/>
      <c r="H16" s="72"/>
      <c r="I16" s="228" t="s">
        <v>237</v>
      </c>
    </row>
    <row r="17" spans="1:12">
      <c r="A17" s="609" t="s">
        <v>84</v>
      </c>
      <c r="B17" s="607" t="s">
        <v>63</v>
      </c>
      <c r="C17" s="607"/>
      <c r="D17" s="606"/>
      <c r="E17" s="610">
        <v>45632</v>
      </c>
      <c r="F17" s="610">
        <v>45639</v>
      </c>
      <c r="G17" s="610"/>
      <c r="H17" s="610"/>
      <c r="I17" s="229">
        <v>2200</v>
      </c>
      <c r="L17">
        <v>10993372</v>
      </c>
    </row>
    <row r="18" spans="1:12">
      <c r="A18" s="607"/>
      <c r="B18" s="607"/>
      <c r="C18" s="607"/>
      <c r="D18" s="606"/>
      <c r="E18" s="610"/>
      <c r="F18" s="610"/>
      <c r="G18" s="610"/>
      <c r="H18" s="610"/>
      <c r="I18" s="230" t="s">
        <v>241</v>
      </c>
      <c r="L18" s="2">
        <f>L17+G7</f>
        <v>13411960</v>
      </c>
    </row>
    <row r="19" spans="1:12">
      <c r="A19" s="607"/>
      <c r="B19" s="607" t="s">
        <v>85</v>
      </c>
      <c r="C19" s="607"/>
      <c r="D19" s="606">
        <v>1856270</v>
      </c>
      <c r="E19" s="606">
        <v>2308681</v>
      </c>
      <c r="F19" s="606">
        <v>2723836</v>
      </c>
      <c r="G19" s="621">
        <v>2752546</v>
      </c>
      <c r="H19" s="610"/>
    </row>
    <row r="20" spans="1:12">
      <c r="A20" s="607"/>
      <c r="B20" s="607"/>
      <c r="C20" s="607"/>
      <c r="D20" s="606"/>
      <c r="E20" s="606"/>
      <c r="F20" s="606"/>
      <c r="G20" s="621"/>
      <c r="H20" s="610"/>
    </row>
    <row r="21" spans="1:12">
      <c r="A21" s="609" t="s">
        <v>86</v>
      </c>
      <c r="B21" s="607" t="s">
        <v>63</v>
      </c>
      <c r="C21" s="607"/>
      <c r="D21" s="606"/>
      <c r="E21" s="606"/>
      <c r="F21" s="606"/>
      <c r="G21" s="610"/>
      <c r="H21" s="610"/>
    </row>
    <row r="22" spans="1:12">
      <c r="A22" s="607"/>
      <c r="B22" s="607"/>
      <c r="C22" s="607"/>
      <c r="D22" s="606"/>
      <c r="E22" s="606"/>
      <c r="F22" s="606"/>
      <c r="G22" s="610"/>
      <c r="H22" s="610"/>
    </row>
    <row r="23" spans="1:12">
      <c r="A23" s="607"/>
      <c r="B23" s="607" t="s">
        <v>85</v>
      </c>
      <c r="C23" s="607"/>
      <c r="D23" s="606"/>
      <c r="E23" s="606"/>
      <c r="F23" s="606"/>
      <c r="G23" s="610"/>
      <c r="H23" s="610"/>
    </row>
    <row r="24" spans="1:12">
      <c r="A24" s="607"/>
      <c r="B24" s="607"/>
      <c r="C24" s="607"/>
      <c r="D24" s="606"/>
      <c r="E24" s="606"/>
      <c r="F24" s="606"/>
      <c r="G24" s="610"/>
      <c r="H24" s="610"/>
    </row>
    <row r="25" spans="1:12">
      <c r="A25" s="607" t="s">
        <v>60</v>
      </c>
      <c r="B25" s="607"/>
      <c r="C25" s="607"/>
      <c r="D25" s="606">
        <f>D14-47363-D19</f>
        <v>38529</v>
      </c>
      <c r="E25" s="606">
        <f>E7-E19-E23</f>
        <v>-38529</v>
      </c>
      <c r="F25" s="606">
        <f>F7-F19-F23</f>
        <v>0</v>
      </c>
      <c r="G25" s="606">
        <f>G14-G19</f>
        <v>-333958</v>
      </c>
      <c r="H25" s="606">
        <f>H14-H19</f>
        <v>2360736</v>
      </c>
    </row>
    <row r="26" spans="1:12" ht="19.5" customHeight="1">
      <c r="A26" s="607"/>
      <c r="B26" s="607"/>
      <c r="C26" s="607"/>
      <c r="D26" s="606"/>
      <c r="E26" s="606"/>
      <c r="F26" s="606"/>
      <c r="G26" s="610"/>
      <c r="H26" s="610"/>
      <c r="I26" s="2"/>
    </row>
    <row r="27" spans="1:12" ht="13.5" hidden="1" customHeight="1">
      <c r="A27" s="7"/>
      <c r="B27" s="7"/>
      <c r="C27" s="7"/>
      <c r="D27" s="606"/>
      <c r="E27" s="606"/>
      <c r="F27" s="606"/>
      <c r="G27" s="62"/>
      <c r="H27" s="62"/>
    </row>
    <row r="28" spans="1:12" ht="13.5" hidden="1" customHeight="1">
      <c r="A28" s="608" t="s">
        <v>87</v>
      </c>
      <c r="B28" s="608"/>
      <c r="C28" s="60" t="e">
        <f>SUM(#REF!)</f>
        <v>#REF!</v>
      </c>
      <c r="D28" s="72"/>
      <c r="E28" s="72"/>
      <c r="F28" s="72"/>
      <c r="G28" s="72"/>
      <c r="H28" s="72"/>
    </row>
    <row r="29" spans="1:12">
      <c r="A29" s="607" t="s">
        <v>88</v>
      </c>
      <c r="B29" s="607"/>
      <c r="C29" s="607"/>
      <c r="D29" s="606">
        <f>SUM(D25:H27)</f>
        <v>2026778</v>
      </c>
      <c r="E29" s="606"/>
      <c r="F29" s="606"/>
      <c r="G29" s="606"/>
      <c r="H29" s="606"/>
    </row>
    <row r="30" spans="1:12">
      <c r="A30" s="607"/>
      <c r="B30" s="607"/>
      <c r="C30" s="607"/>
      <c r="D30" s="606"/>
      <c r="E30" s="606"/>
      <c r="F30" s="606"/>
      <c r="G30" s="606"/>
      <c r="H30" s="606"/>
    </row>
  </sheetData>
  <mergeCells count="52">
    <mergeCell ref="H23:H24"/>
    <mergeCell ref="G25:G26"/>
    <mergeCell ref="H25:H26"/>
    <mergeCell ref="H14:H15"/>
    <mergeCell ref="H17:H18"/>
    <mergeCell ref="H19:H20"/>
    <mergeCell ref="H21:H22"/>
    <mergeCell ref="E14:E15"/>
    <mergeCell ref="E17:E18"/>
    <mergeCell ref="E19:E20"/>
    <mergeCell ref="E21:E22"/>
    <mergeCell ref="G14:G15"/>
    <mergeCell ref="F14:F15"/>
    <mergeCell ref="F17:F18"/>
    <mergeCell ref="F19:F20"/>
    <mergeCell ref="G17:G18"/>
    <mergeCell ref="G19:G20"/>
    <mergeCell ref="G21:G22"/>
    <mergeCell ref="B19:C20"/>
    <mergeCell ref="D19:D20"/>
    <mergeCell ref="D14:D15"/>
    <mergeCell ref="A16:C16"/>
    <mergeCell ref="A17:A20"/>
    <mergeCell ref="B17:C18"/>
    <mergeCell ref="A10:A13"/>
    <mergeCell ref="B10:C11"/>
    <mergeCell ref="B12:C13"/>
    <mergeCell ref="A14:C15"/>
    <mergeCell ref="D17:D18"/>
    <mergeCell ref="A3:A5"/>
    <mergeCell ref="B3:B4"/>
    <mergeCell ref="B5:C5"/>
    <mergeCell ref="A7:B7"/>
    <mergeCell ref="A8:A9"/>
    <mergeCell ref="B8:C8"/>
    <mergeCell ref="B9:C9"/>
    <mergeCell ref="F23:F24"/>
    <mergeCell ref="B21:C22"/>
    <mergeCell ref="A28:B28"/>
    <mergeCell ref="A29:C30"/>
    <mergeCell ref="A25:C26"/>
    <mergeCell ref="D25:D27"/>
    <mergeCell ref="D21:D22"/>
    <mergeCell ref="B23:C24"/>
    <mergeCell ref="D23:D24"/>
    <mergeCell ref="A21:A24"/>
    <mergeCell ref="E25:E27"/>
    <mergeCell ref="F25:F27"/>
    <mergeCell ref="F21:F22"/>
    <mergeCell ref="E23:E24"/>
    <mergeCell ref="D29:H30"/>
    <mergeCell ref="G23:G24"/>
  </mergeCells>
  <phoneticPr fontId="28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累計計算用</vt:lpstr>
      <vt:lpstr>NIPPONIKA24年8月-25年7月</vt:lpstr>
      <vt:lpstr>R&amp;C24年8月-25年7月 (2)</vt:lpstr>
      <vt:lpstr>R&amp;C24年8月-25年7月</vt:lpstr>
      <vt:lpstr>R&amp;C</vt:lpstr>
      <vt:lpstr>大里さま（国内）</vt:lpstr>
      <vt:lpstr>USA2405~</vt:lpstr>
      <vt:lpstr>ACES Beteiligune23年８月-24年7月 </vt:lpstr>
      <vt:lpstr>YAMAT2408~2507</vt:lpstr>
      <vt:lpstr>YAMATO2308~2407 </vt:lpstr>
      <vt:lpstr>JS2308~2507 </vt:lpstr>
      <vt:lpstr>'ACES Beteiligune23年８月-24年7月 '!Print_Area</vt:lpstr>
      <vt:lpstr>'JS2308~2507 '!Print_Area</vt:lpstr>
      <vt:lpstr>'NIPPONIKA24年8月-25年7月'!Print_Area</vt:lpstr>
      <vt:lpstr>'R&amp;C'!Print_Area</vt:lpstr>
      <vt:lpstr>'R&amp;C24年8月-25年7月'!Print_Area</vt:lpstr>
      <vt:lpstr>'R&amp;C24年8月-25年7月 (2)'!Print_Area</vt:lpstr>
      <vt:lpstr>'USA2405~'!Print_Area</vt:lpstr>
      <vt:lpstr>'YAMAT2408~2507'!Print_Area</vt:lpstr>
      <vt:lpstr>'YAMATO2308~2407 '!Print_Area</vt:lpstr>
      <vt:lpstr>'大里さま（国内）'!Print_Area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snet95a</dc:creator>
  <cp:keywords/>
  <dc:description/>
  <cp:lastModifiedBy>aoi kuwamura</cp:lastModifiedBy>
  <cp:revision/>
  <cp:lastPrinted>2025-07-03T02:40:36Z</cp:lastPrinted>
  <dcterms:created xsi:type="dcterms:W3CDTF">2015-04-30T06:07:10Z</dcterms:created>
  <dcterms:modified xsi:type="dcterms:W3CDTF">2025-09-08T11:03:31Z</dcterms:modified>
  <cp:category/>
  <cp:contentStatus/>
</cp:coreProperties>
</file>